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workbookProtection workbookAlgorithmName="SHA-512" workbookHashValue="+0w9rOGtScYxScdm0DtTo/9X0J4S0nuGckSxa5iLnv76vqPDiOTsFz1h7lD8OVJXOrOMPnSsULrfJM/t+HfAFQ==" workbookSpinCount="100000" workbookSaltValue="rOMMpjpLdxaiWLrv91cUtA==" lockStructure="1"/>
  <bookViews>
    <workbookView xWindow="0" yWindow="0" windowWidth="28800" windowHeight="12585" tabRatio="813" firstSheet="12" activeTab="16"/>
  </bookViews>
  <sheets>
    <sheet name="IMS" sheetId="29" state="veryHidden" r:id="rId1"/>
    <sheet name="NASTAVENI ZADAVATELE" sheetId="28" r:id="rId2"/>
    <sheet name="NABIDKA DOPRAVCE" sheetId="27" r:id="rId3"/>
    <sheet name="Technicke hodnoceni" sheetId="6" r:id="rId4"/>
    <sheet name="Financni hodnoceni" sheetId="21" r:id="rId5"/>
    <sheet name="Cenova nabidka CELKOVA" sheetId="19" r:id="rId6"/>
    <sheet name="Cenova nabidka PREPOCTENA" sheetId="20" r:id="rId7"/>
    <sheet name="Cenova nabidka NAFTA" sheetId="7" r:id="rId8"/>
    <sheet name="Cenova nabidka CNG" sheetId="15" r:id="rId9"/>
    <sheet name="Cenova nabidka ELEKTRO" sheetId="17" r:id="rId10"/>
    <sheet name="Cenove indexy" sheetId="8" r:id="rId11"/>
    <sheet name="Skutecnost" sheetId="12" state="veryHidden" r:id="rId12"/>
    <sheet name="Vypocty indexu" sheetId="10" r:id="rId13"/>
    <sheet name="Beh smlouvy" sheetId="25" r:id="rId14"/>
    <sheet name="Vypocty NAFTA" sheetId="11" r:id="rId15"/>
    <sheet name="Vypocty CNG" sheetId="23" r:id="rId16"/>
    <sheet name="Vypocty ELEKTRO" sheetId="24" r:id="rId17"/>
    <sheet name="Modelovane odlisnosti" sheetId="14" state="veryHidden" r:id="rId18"/>
  </sheets>
  <definedNames>
    <definedName name="HH">'NASTAVENI ZADAVATELE'!$H$8</definedName>
    <definedName name="NaPoVo">'NABIDKA DOPRAVCE'!$I$4</definedName>
    <definedName name="_xlnm.Print_Area" localSheetId="13">'Beh smlouvy'!$B$2:$M$31</definedName>
    <definedName name="_xlnm.Print_Area" localSheetId="5">'Cenova nabidka CELKOVA'!$B$2:$K$31</definedName>
    <definedName name="_xlnm.Print_Area" localSheetId="8">'Cenova nabidka CNG'!$B$2:$W$37</definedName>
    <definedName name="_xlnm.Print_Area" localSheetId="9">'Cenova nabidka ELEKTRO'!$B$2:$W$36</definedName>
    <definedName name="_xlnm.Print_Area" localSheetId="7">'Cenova nabidka NAFTA'!$B$2:$W$37</definedName>
    <definedName name="_xlnm.Print_Area" localSheetId="6">'Cenova nabidka PREPOCTENA'!$B$2:$K$31</definedName>
    <definedName name="_xlnm.Print_Area" localSheetId="10">'Cenove indexy'!$B$2:$N$54</definedName>
    <definedName name="_xlnm.Print_Area" localSheetId="4">'Financni hodnoceni'!$B$2:$K$9</definedName>
    <definedName name="_xlnm.Print_Area" localSheetId="2">'NABIDKA DOPRAVCE'!$B$2:$O$52</definedName>
    <definedName name="_xlnm.Print_Area" localSheetId="1">'NASTAVENI ZADAVATELE'!$B$2:$N$97</definedName>
    <definedName name="_xlnm.Print_Area" localSheetId="3">'Technicke hodnoceni'!$B$2:$M$42</definedName>
    <definedName name="_xlnm.Print_Area" localSheetId="15">'Vypocty CNG'!$B$2:$N$92</definedName>
    <definedName name="_xlnm.Print_Area" localSheetId="16">'Vypocty ELEKTRO'!$B$2:$N$92</definedName>
    <definedName name="_xlnm.Print_Area" localSheetId="12">'Vypocty indexu'!$B$2:$N$43</definedName>
    <definedName name="_xlnm.Print_Area" localSheetId="14">'Vypocty NAFTA'!$B$2:$N$92</definedName>
    <definedName name="PopKOD">'NASTAVENI ZADAVATELE'!$H$17</definedName>
    <definedName name="PP">'NASTAVENI ZADAVATELE'!$H$10</definedName>
    <definedName name="Prej_k_planu">'NABIDKA DOPRAVCE'!$I$6</definedName>
    <definedName name="PV_nafta">'NABIDKA DOPRAVCE'!$I$4</definedName>
    <definedName name="PVUD">'Skutecnost'!$G$53</definedName>
    <definedName name="SH">'NASTAVENI ZADAVATELE'!$F$8</definedName>
    <definedName name="SnV">'NASTAVENI ZADAVATELE'!$H$20</definedName>
    <definedName name="sPV">'NASTAVENI ZADAVATELE'!$H$21</definedName>
    <definedName name="VR">'NASTAVENI ZADAVATELE'!$H$7</definedName>
    <definedName name="VV_CNG">'Cenova nabidka CNG'!$J$18</definedName>
    <definedName name="VV_nafta">'Cenova nabidka NAFTA'!$L$34</definedName>
    <definedName name="VV_ostatni">'Cenova nabidka ELEKTRO'!$J$18</definedName>
    <definedName name="ZvN">#REF!</definedName>
  </definedNames>
  <calcPr calcId="152511" iterate="1" iterateCount="100" iterateDelta="0.001"/>
</workbook>
</file>

<file path=xl/comments12.xml><?xml version="1.0" encoding="utf-8"?>
<comments xmlns="http://schemas.openxmlformats.org/spreadsheetml/2006/main">
  <authors>
    <author>Tim Young</author>
  </authors>
  <commentList>
    <comment ref="D26" authorId="0">
      <text>
        <r>
          <rPr>
            <sz val="9"/>
            <rFont val="Tahoma"/>
            <family val="2"/>
          </rPr>
          <t>Počítán jako rozdíl mezi upravenou celkovou částkou (v dalším řádku) a skutečnými náklady</t>
        </r>
      </text>
    </comment>
    <comment ref="D27" authorId="0">
      <text>
        <r>
          <rPr>
            <sz val="9"/>
            <rFont val="Tahoma"/>
            <family val="2"/>
          </rPr>
          <t>Úprava spočívá v tom, že částka je počítána na základě jednotkové ceny PŘED případným snížením z důvodu vyrování z minulého období</t>
        </r>
      </text>
    </comment>
    <comment ref="F43" authorId="0">
      <text>
        <r>
          <rPr>
            <sz val="9"/>
            <rFont val="Tahoma"/>
            <family val="2"/>
          </rPr>
          <t>Pro význam úpravy, viz komentář v buňce D26</t>
        </r>
      </text>
    </comment>
    <comment ref="I43" authorId="0">
      <text>
        <r>
          <rPr>
            <sz val="9"/>
            <rFont val="Tahoma"/>
            <family val="2"/>
          </rPr>
          <t>Pro význam úpravy, viz komentář v buňce D26</t>
        </r>
      </text>
    </comment>
    <comment ref="L43" authorId="0">
      <text>
        <r>
          <rPr>
            <sz val="9"/>
            <rFont val="Tahoma"/>
            <family val="2"/>
          </rPr>
          <t>Pro význam úpravy, viz komentář v buňce D26</t>
        </r>
      </text>
    </comment>
    <comment ref="M46" authorId="0">
      <text>
        <r>
          <rPr>
            <b/>
            <sz val="9"/>
            <rFont val="Tahoma"/>
            <family val="2"/>
          </rPr>
          <t>Trojnásobek protože vracení v průběhu jednoho roku!</t>
        </r>
      </text>
    </comment>
    <comment ref="M50" authorId="0">
      <text>
        <r>
          <rPr>
            <sz val="9"/>
            <rFont val="Tahoma"/>
            <family val="2"/>
          </rPr>
          <t xml:space="preserve">Zde nedochází k trojnásobení - cílem není kompenzovat dopravce, jenom zajistit stabilitu služby
</t>
        </r>
      </text>
    </comment>
  </commentList>
</comments>
</file>

<file path=xl/sharedStrings.xml><?xml version="1.0" encoding="utf-8"?>
<sst xmlns="http://schemas.openxmlformats.org/spreadsheetml/2006/main" count="1372" uniqueCount="275">
  <si>
    <t>nafta</t>
  </si>
  <si>
    <t>ne</t>
  </si>
  <si>
    <t>ano</t>
  </si>
  <si>
    <t>Váha</t>
  </si>
  <si>
    <t>Předložená nabídka</t>
  </si>
  <si>
    <t>Počet bodů</t>
  </si>
  <si>
    <t>Převážený počet bodů</t>
  </si>
  <si>
    <t>Parametr</t>
  </si>
  <si>
    <t>Přímý materiál a energie</t>
  </si>
  <si>
    <t xml:space="preserve">Opravy a udržování </t>
  </si>
  <si>
    <t>Odpisy</t>
  </si>
  <si>
    <t>Přímé mzdy</t>
  </si>
  <si>
    <t>Sociální a zdravotní pojištění</t>
  </si>
  <si>
    <t>Cestovné</t>
  </si>
  <si>
    <t>Úhrada za použití infrastruktury</t>
  </si>
  <si>
    <t>Silniční daň</t>
  </si>
  <si>
    <t>Elektronické mýtné</t>
  </si>
  <si>
    <t>Pojištění zákonné odpovědnosti</t>
  </si>
  <si>
    <t>Ostatní přímé náklady</t>
  </si>
  <si>
    <t>Ostatní služby</t>
  </si>
  <si>
    <t>Režijní náklady</t>
  </si>
  <si>
    <t>Náklady (ř.11 až 25)</t>
  </si>
  <si>
    <t>11a</t>
  </si>
  <si>
    <t>11b</t>
  </si>
  <si>
    <t>11c</t>
  </si>
  <si>
    <t>Ostatní</t>
  </si>
  <si>
    <t>Vozidla</t>
  </si>
  <si>
    <t>Řidiči</t>
  </si>
  <si>
    <t>14a</t>
  </si>
  <si>
    <t>14b</t>
  </si>
  <si>
    <t>16a</t>
  </si>
  <si>
    <t>16b</t>
  </si>
  <si>
    <t>Kč</t>
  </si>
  <si>
    <t>km</t>
  </si>
  <si>
    <t>Kč/km</t>
  </si>
  <si>
    <t>Řádek</t>
  </si>
  <si>
    <t>Ukazatel</t>
  </si>
  <si>
    <t>Rozdělení</t>
  </si>
  <si>
    <t>Pod-řádek</t>
  </si>
  <si>
    <t>%</t>
  </si>
  <si>
    <t>17a</t>
  </si>
  <si>
    <t>17b</t>
  </si>
  <si>
    <t>Leasing (pronájem) - bez finančních nákladů</t>
  </si>
  <si>
    <t>Finanční náklady</t>
  </si>
  <si>
    <t>Zisk</t>
  </si>
  <si>
    <t>)</t>
  </si>
  <si>
    <t>Celková částka</t>
  </si>
  <si>
    <t>Index spotřebitelských cen</t>
  </si>
  <si>
    <t>Index pro naftu</t>
  </si>
  <si>
    <t>Index mezd v MSK</t>
  </si>
  <si>
    <t>Obecné nástavení</t>
  </si>
  <si>
    <t>Cenový index</t>
  </si>
  <si>
    <t>Upravený index spotřebitelských cen</t>
  </si>
  <si>
    <t>Cenové indexy a jejich vývoj v průběhu času</t>
  </si>
  <si>
    <t>vždy ke konci září daného roku resp. k 3. čtvrtletí</t>
  </si>
  <si>
    <t>Cenové indexy a jejich vývoj v průběhu času - vztažené k výchozímu roku</t>
  </si>
  <si>
    <t>Pohonné hmoty - (bio)nafta</t>
  </si>
  <si>
    <t>Pohonné hmoty - zemní plyn</t>
  </si>
  <si>
    <t>Pohonné hmoty - ostatní</t>
  </si>
  <si>
    <t>Odpisy - vozidla</t>
  </si>
  <si>
    <t>Odpisy - ostatní</t>
  </si>
  <si>
    <t>Přímé mzdy - řidiči</t>
  </si>
  <si>
    <t>Přímé mzdy - ostatní</t>
  </si>
  <si>
    <t>Sociální a zdravotní pojištění - řidiči</t>
  </si>
  <si>
    <t>Sociální a zdravotní pojištění - ostatní</t>
  </si>
  <si>
    <t>Položka</t>
  </si>
  <si>
    <t>Roční výkon (km)</t>
  </si>
  <si>
    <t>Cena za km</t>
  </si>
  <si>
    <t>Celková indexovaná částka</t>
  </si>
  <si>
    <t>Pásmo bez úpravy jednotkové ceny od</t>
  </si>
  <si>
    <t>do</t>
  </si>
  <si>
    <t>Poměr ročního výkonu k výchozímu výkonu</t>
  </si>
  <si>
    <t>Výše skutečných nákladů a zisku (Kč, běžné ceny)</t>
  </si>
  <si>
    <t>Náklady a zisk za km</t>
  </si>
  <si>
    <t>1. období</t>
  </si>
  <si>
    <t>2. období</t>
  </si>
  <si>
    <t>3. období</t>
  </si>
  <si>
    <t>Poslední rok</t>
  </si>
  <si>
    <t>Průněr za dané období (Kč/km, stále ceny)</t>
  </si>
  <si>
    <t>Rozdíl oproti nabídce</t>
  </si>
  <si>
    <t>Rozdíl v zisku oproti nabídce</t>
  </si>
  <si>
    <t>Podíl úspor, který dopravce případně vrátí v dalším období</t>
  </si>
  <si>
    <t>Snížení ceny v dalším období</t>
  </si>
  <si>
    <t>Finanční náklady (pouze za relevantní vozidla)</t>
  </si>
  <si>
    <t>Finanční náklady za relevantní vozidla</t>
  </si>
  <si>
    <t>Nutné uvažovat o zvýšení ceny?</t>
  </si>
  <si>
    <t>Navýšení ceny v dalším období</t>
  </si>
  <si>
    <t>Případné snížení v dalším období (Kč/km, stále ceny)</t>
  </si>
  <si>
    <t>Případné navýšení v dalším období (Kč/km, stále ceny)</t>
  </si>
  <si>
    <t>Výše indexovaných cenotvorných položek bez jakékoliv úpravy (Kč, běžné ceny)</t>
  </si>
  <si>
    <t>Zařazení cenových indexů k cenotvorným položkám</t>
  </si>
  <si>
    <t>Modelované odlišnosti v skutečných nákladech a zisku (Kč, běžné ceny) - pouze pro účely simulace</t>
  </si>
  <si>
    <t>Skutečný roční výkon (km)</t>
  </si>
  <si>
    <t>Celková částka za poskytnuté služby (upravená)</t>
  </si>
  <si>
    <t>Zisk (upravený)</t>
  </si>
  <si>
    <t>Nejlepší možná nabídka</t>
  </si>
  <si>
    <t>Elektronické mýtné - dle skutečného vývoje sazeb</t>
  </si>
  <si>
    <t>závazně předložených dopravcem za každý rok trvání veřejné zakázky</t>
  </si>
  <si>
    <t>Souhrnná tabulka technických kritérií</t>
  </si>
  <si>
    <t>Minimální požadavky na technická kritéria</t>
  </si>
  <si>
    <t>určené zadavatelem za každý rok trvání veřejné zakázky</t>
  </si>
  <si>
    <t>Dopravní rok vozidla v provozu</t>
  </si>
  <si>
    <t>Podíl vázaný na vozidla</t>
  </si>
  <si>
    <t>Fixní podíl</t>
  </si>
  <si>
    <t>Cenová nabídka pro typ pohonu:</t>
  </si>
  <si>
    <t>NAFTA</t>
  </si>
  <si>
    <t>Cena za km Spojů</t>
  </si>
  <si>
    <t>Cena za km Objižděk</t>
  </si>
  <si>
    <t>CNG</t>
  </si>
  <si>
    <t xml:space="preserve">s pohonem  </t>
  </si>
  <si>
    <t>a pro nový počet vozidel</t>
  </si>
  <si>
    <t>Palivo [% vozidel]</t>
  </si>
  <si>
    <t>Klimatizace [% vozidel]</t>
  </si>
  <si>
    <t>Nízkopodlažnost [% vozidel]</t>
  </si>
  <si>
    <t>Velikostní kategorie [% vozidel]</t>
  </si>
  <si>
    <t>na základě podílu vybraných kritérií na vozovém parku za celé období veřejné zakázky</t>
  </si>
  <si>
    <t>Upravený index spotřebitelských cen (ISC) je spočítán na základě</t>
  </si>
  <si>
    <t>roční změny ISC minus…</t>
  </si>
  <si>
    <r>
      <t>Výše výpočtených cen</t>
    </r>
    <r>
      <rPr>
        <b/>
        <sz val="10"/>
        <color rgb="FFFF0000"/>
        <rFont val="Arial"/>
        <family val="2"/>
      </rPr>
      <t xml:space="preserve"> </t>
    </r>
    <r>
      <rPr>
        <b/>
        <sz val="10"/>
        <color theme="1"/>
        <rFont val="Arial"/>
        <family val="2"/>
      </rPr>
      <t>(Kč, běžné ceny) pro typ pohonu:</t>
    </r>
  </si>
  <si>
    <t>Nafta</t>
  </si>
  <si>
    <t>Vážený průměr</t>
  </si>
  <si>
    <t>11.5 - 13.0 m</t>
  </si>
  <si>
    <t>10.0 - 11.0 m</t>
  </si>
  <si>
    <t>11d</t>
  </si>
  <si>
    <t>Pohonné hmoty a oleje</t>
  </si>
  <si>
    <t>Pohonné hmoty a oleje - Nafta</t>
  </si>
  <si>
    <t>Pohonné hmoty a oleje - CNG</t>
  </si>
  <si>
    <t>Pohonné hmoty a oleje - Ostatní</t>
  </si>
  <si>
    <t>Výpočet celkových neindexovaných ročních nákladů a zisku</t>
  </si>
  <si>
    <t>Za průměrné obsazení vozového parku</t>
  </si>
  <si>
    <t>Vstupy pro výpočet cen v průběhu trvání smlouvy</t>
  </si>
  <si>
    <t>Dopravní rok</t>
  </si>
  <si>
    <t>Vypočtené ceny</t>
  </si>
  <si>
    <t>NABÍDKA DOPRAVCE</t>
  </si>
  <si>
    <t>Zlutá barva označuje údaj k vyplnění!</t>
  </si>
  <si>
    <t>Červená barva označuje chybu ci nevyplněný údaj</t>
  </si>
  <si>
    <t>NASTAVENÍ ZADAVATELE</t>
  </si>
  <si>
    <t>= podíl, který určuje Zadavatel</t>
  </si>
  <si>
    <t>Vážená průměrná cena</t>
  </si>
  <si>
    <r>
      <t xml:space="preserve">závazně předložených dopravcem za každý rok trvání veřejné zakázky </t>
    </r>
    <r>
      <rPr>
        <i/>
        <sz val="10"/>
        <color theme="1"/>
        <rFont val="Arial"/>
        <family val="2"/>
      </rPr>
      <t>(podíly by měly být vypočtené a zadané bez zaokrouhlení, viz doprovodný Manuál)</t>
    </r>
  </si>
  <si>
    <t>Pozor - nabízené částky jsou zaokrouhlené na 3 desetinná místa, procenta na celé procento</t>
  </si>
  <si>
    <t>CALCULATION COVER SHEET</t>
  </si>
  <si>
    <t>Project Title:</t>
  </si>
  <si>
    <t>304834 Soutez dopravcu MSK</t>
  </si>
  <si>
    <t>Project No:</t>
  </si>
  <si>
    <t>Div/Dept:</t>
  </si>
  <si>
    <t>TPE</t>
  </si>
  <si>
    <t>File No:</t>
  </si>
  <si>
    <t>Calculation name:</t>
  </si>
  <si>
    <t>Calc No:</t>
  </si>
  <si>
    <t>Path &amp; File name:</t>
  </si>
  <si>
    <t>Calculated by:</t>
  </si>
  <si>
    <t>date:</t>
  </si>
  <si>
    <t>Checked by:</t>
  </si>
  <si>
    <t>Approved by:</t>
  </si>
  <si>
    <t>Computer applications used</t>
  </si>
  <si>
    <t>Title</t>
  </si>
  <si>
    <t>Version</t>
  </si>
  <si>
    <t xml:space="preserve">Excel </t>
  </si>
  <si>
    <t>Calculation description</t>
  </si>
  <si>
    <r>
      <t>Informace</t>
    </r>
    <r>
      <rPr>
        <sz val="10"/>
        <rFont val="Lucida Sans"/>
        <family val="2"/>
      </rPr>
      <t xml:space="preserve"> - zakladni informace o nastroji</t>
    </r>
  </si>
  <si>
    <r>
      <t>NASTAVENI ZADAVATELE</t>
    </r>
    <r>
      <rPr>
        <sz val="10"/>
        <rFont val="Lucida Sans"/>
        <family val="2"/>
      </rPr>
      <t xml:space="preserve"> - Zakladni parametry hodnoceni zadavane zadavatelem</t>
    </r>
  </si>
  <si>
    <r>
      <t>NABIDKA DOPRAVCE</t>
    </r>
    <r>
      <rPr>
        <sz val="10"/>
        <rFont val="Lucida Sans"/>
        <family val="2"/>
      </rPr>
      <t xml:space="preserve"> - Vstupni hodnoty uchazece</t>
    </r>
  </si>
  <si>
    <r>
      <t>Technicke hodnoceni</t>
    </r>
    <r>
      <rPr>
        <sz val="10"/>
        <rFont val="Lucida Sans"/>
        <family val="2"/>
      </rPr>
      <t xml:space="preserve"> - Technicke parametry pro celou dobu souteze</t>
    </r>
  </si>
  <si>
    <r>
      <t>Financni hodnoceni</t>
    </r>
    <r>
      <rPr>
        <sz val="10"/>
        <rFont val="Lucida Sans"/>
        <family val="2"/>
      </rPr>
      <t xml:space="preserve"> - Vypocet prumernych cen dopravce za vozkm pro modelovane vykony</t>
    </r>
  </si>
  <si>
    <r>
      <t>Cenova nabidka CELKOVA</t>
    </r>
    <r>
      <rPr>
        <sz val="10"/>
        <rFont val="Lucida Sans"/>
        <family val="2"/>
      </rPr>
      <t xml:space="preserve"> - Souhrnna cenova nabidka uchazece pro vsechny typy pohonu (vychozi rok)</t>
    </r>
  </si>
  <si>
    <r>
      <t>Cenova nabidka PREPOCTENA</t>
    </r>
    <r>
      <rPr>
        <sz val="10"/>
        <rFont val="Lucida Sans"/>
        <family val="2"/>
      </rPr>
      <t xml:space="preserve"> - Souhrnna cenova nabidka uchazece pro upravene modelovane vykony (vychozi rok)</t>
    </r>
  </si>
  <si>
    <r>
      <t>Cenova nabidka NAFTA</t>
    </r>
    <r>
      <rPr>
        <sz val="10"/>
        <rFont val="Lucida Sans"/>
        <family val="2"/>
      </rPr>
      <t xml:space="preserve"> - Cenova nabidka uchazece pro dany typ pohonu. Tabulka jednotkovych nakladu pro vychozi rok, tabulka rocnich nakladu pro prumerny rok, tabulka rocnich nakladu pro jednotlive roky zakazky</t>
    </r>
  </si>
  <si>
    <r>
      <t>Cenova nabidka CNG</t>
    </r>
    <r>
      <rPr>
        <sz val="10"/>
        <rFont val="Lucida Sans"/>
        <family val="2"/>
      </rPr>
      <t xml:space="preserve"> - Cenova nabidka uchazece pro dany typ pohonu. Tabulka jednotkovych nakladu pro vychozi rok, tabulka rocnich nakladu pro prumerny rok, tabulka rocnich nakladu pro jednotlive roky zakazky</t>
    </r>
  </si>
  <si>
    <r>
      <t>Vypocet indexu</t>
    </r>
    <r>
      <rPr>
        <sz val="10"/>
        <rFont val="Lucida Sans"/>
        <family val="2"/>
      </rPr>
      <t xml:space="preserve"> - Vypocet bazickych cenovych indexu . Tabulka pro vypocet v dalsich listech</t>
    </r>
  </si>
  <si>
    <r>
      <t xml:space="preserve">Beh smlouvy - </t>
    </r>
    <r>
      <rPr>
        <sz val="10"/>
        <rFont val="Lucida Sans"/>
        <family val="2"/>
      </rPr>
      <t>Vstupy pro vypocet cen v prubehu trvani smlouvy,</t>
    </r>
  </si>
  <si>
    <r>
      <t>Pocty vozidel</t>
    </r>
    <r>
      <rPr>
        <sz val="10"/>
        <rFont val="Lucida Sans"/>
        <family val="2"/>
      </rPr>
      <t xml:space="preserve"> - Vypocet minimálnich poctu vozidel v prubehu smlouvy, na zaklade nabizeneho podilu vozidel splnujicich vybranych kritérii </t>
    </r>
  </si>
  <si>
    <r>
      <t>Vypocty NAFTA</t>
    </r>
    <r>
      <rPr>
        <b/>
        <i/>
        <sz val="10"/>
        <rFont val="Lucida Sans"/>
        <family val="2"/>
      </rPr>
      <t xml:space="preserve"> </t>
    </r>
    <r>
      <rPr>
        <sz val="10"/>
        <rFont val="Lucida Sans"/>
        <family val="2"/>
      </rPr>
      <t>- Vypocet cen (bezne ceny) pro dany typ pohonu a pro jednotlive roky trvani smlouvy</t>
    </r>
  </si>
  <si>
    <r>
      <t>Vypocty CMG</t>
    </r>
    <r>
      <rPr>
        <sz val="10"/>
        <rFont val="Lucida Sans"/>
        <family val="2"/>
      </rPr>
      <t xml:space="preserve"> - Vypocet cen (bezne ceny) pro dany typ pohonu a pro jednotlive roky trvani smlouvy</t>
    </r>
  </si>
  <si>
    <t>Scope of checking:</t>
  </si>
  <si>
    <t>Date</t>
  </si>
  <si>
    <t>Comments</t>
  </si>
  <si>
    <t>Checked by</t>
  </si>
  <si>
    <t>Sheet</t>
  </si>
  <si>
    <t>Corrected by</t>
  </si>
  <si>
    <t>Source/reference:</t>
  </si>
  <si>
    <t>Source 1</t>
  </si>
  <si>
    <t>Source 2</t>
  </si>
  <si>
    <t>Source 3</t>
  </si>
  <si>
    <t>Documents / technical records where the calculation will be used:</t>
  </si>
  <si>
    <t>Checker:</t>
  </si>
  <si>
    <t>Approver:</t>
  </si>
  <si>
    <t>Disclaimer:</t>
  </si>
  <si>
    <t>This file is issued for the party which commissioned the work and for specific purposes connected with that project only. It should not be relied upon by any other party or used for any other purpose.</t>
  </si>
  <si>
    <t>We accept no responsibility for the consequences of this file being relied upon by any other party, or being used for any other purpose, or containing any error or omission which is due to an error or omission in data supplied to us by other parties.</t>
  </si>
  <si>
    <t>Furthermore you warrant that those of your employees who use the information for the specified project have been suitably trained to do so. You accept that Mott MacDonald shall not be liable for any losses incurred by you due to the actions of your employees whom are not properly qualified to process and interpret the information contained in this file.</t>
  </si>
  <si>
    <t xml:space="preserve">
This file contains confidential information and proprietary intellectual property. It should not be shown to other parties without consent from us and from the party which commissioned them.</t>
  </si>
  <si>
    <t>Výpočetní nástroj pro hodnocení nabídek a běh smlouvy</t>
  </si>
  <si>
    <t>p:\Prague\TPE\Projects\304834 Soutez dopravcu MSK\Nastroje\MSK_zavazny_nastroj_2014-11-11.xlsx</t>
  </si>
  <si>
    <r>
      <t>Cenove indexy</t>
    </r>
    <r>
      <rPr>
        <sz val="10"/>
        <rFont val="Lucida Sans"/>
        <family val="2"/>
      </rPr>
      <t xml:space="preserve"> - Hodnoty cenovych indexu pro vypocet nakladu ve vyhledovych letech</t>
    </r>
  </si>
  <si>
    <t>Výchozí Dopravní rok</t>
  </si>
  <si>
    <t>Výchozí rozsah Služby</t>
  </si>
  <si>
    <t>Maximální přípustná cena za Vozokm ve Spojích (Kč)</t>
  </si>
  <si>
    <t>Nabízený Výchozí počet Používaných vozidel [#]</t>
  </si>
  <si>
    <t>Jednotkový náklad za Vozokm</t>
  </si>
  <si>
    <t>Počet Vozokm pro daný typ pohonu (pouze ve Spojích)</t>
  </si>
  <si>
    <t>Celkový počet plánovaných Vozokm za Dopravní rok</t>
  </si>
  <si>
    <t>Odchylka od Výchozího rozsahu služby</t>
  </si>
  <si>
    <t>Cena za Objížďky (dle Zadavatelem schválené délky objížděk)</t>
  </si>
  <si>
    <t>Aktualizovaný počet Používaných vozidel</t>
  </si>
  <si>
    <t>Počet plánovaných Vozokm</t>
  </si>
  <si>
    <t>Kontrola správnosti vzorců a metodiky.</t>
  </si>
  <si>
    <t>M Vokrinkova</t>
  </si>
  <si>
    <t>NASTAVENI ZADAVATELE</t>
  </si>
  <si>
    <t>Buňka C39 a C53 nezobrazuje celý text</t>
  </si>
  <si>
    <t>Buňka N65 chybné podmíněné formátování</t>
  </si>
  <si>
    <t>NABIDKA DOPRAVCE</t>
  </si>
  <si>
    <t>Buňka C19 a C33 nezobrazuje celý text</t>
  </si>
  <si>
    <t>Buňka N45 chybné podmíněné formátování</t>
  </si>
  <si>
    <t>Řádek 47 jiné podmíněné formátování při zadání nižší než požadované hodnoty</t>
  </si>
  <si>
    <t>TECHNICKE HODNOCENI</t>
  </si>
  <si>
    <t>V buňce M36 chybí vzorec</t>
  </si>
  <si>
    <t>CENOVE INDEXY</t>
  </si>
  <si>
    <t>V oblasti C7:C9 nejsou komnetáře čitelné celé</t>
  </si>
  <si>
    <t>Buňka B16 upravit "indecích" na "indexech"</t>
  </si>
  <si>
    <t>VYPOCTY NAFTA</t>
  </si>
  <si>
    <r>
      <t>Vzorec v buňce E8 …když(NaPoVo=0,</t>
    </r>
    <r>
      <rPr>
        <sz val="9"/>
        <color rgb="FFFF0000"/>
        <rFont val="Lucida Sans"/>
        <family val="2"/>
      </rPr>
      <t>0</t>
    </r>
    <r>
      <rPr>
        <sz val="9"/>
        <rFont val="Lucida Sans"/>
        <family val="2"/>
      </rPr>
      <t>,…. Odlišný od přístupu na listu "Cenova nabidka prepoctena" buňka I6, kde je …když(NaPoVo = 0,</t>
    </r>
    <r>
      <rPr>
        <sz val="9"/>
        <color rgb="FFFF0000"/>
        <rFont val="Lucida Sans"/>
        <family val="2"/>
      </rPr>
      <t>1</t>
    </r>
    <r>
      <rPr>
        <sz val="9"/>
        <rFont val="Lucida Sans"/>
        <family val="2"/>
      </rPr>
      <t>,… Který přístup je správný?</t>
    </r>
  </si>
  <si>
    <t>T Young</t>
  </si>
  <si>
    <t>Roční změna v daných indexech</t>
  </si>
  <si>
    <t>T Young (oba postupy jsou možné, sjednotil jsem v prospěch nuly</t>
  </si>
  <si>
    <t>V oblasti D38:M38 chybí vzorce</t>
  </si>
  <si>
    <t>Poplatek KODIS</t>
  </si>
  <si>
    <t>Poplatek KODIS (Kč/Vozokm)</t>
  </si>
  <si>
    <t>NENÍ ZAHRNUTO DO VÝPOČTU CENY ZA OBJÍŽĎKY</t>
  </si>
  <si>
    <t>Hodnocení dílčího hodnotícího kritéria "Technická kritéria nabídky"</t>
  </si>
  <si>
    <t>Hodnocení dílčího hodnotícího kritéria "Nabídková cena"</t>
  </si>
  <si>
    <t xml:space="preserve">Oranžová barva označuje </t>
  </si>
  <si>
    <t>údaj vyplněný Zadavatelem</t>
  </si>
  <si>
    <t>Určení vybraných cenotvorných položek (dle Vozokm, dle vozidel, fixní)</t>
  </si>
  <si>
    <t>Podíl vázaný na Vozokm</t>
  </si>
  <si>
    <t>Cena za Vozokm pro modelové výkony</t>
  </si>
  <si>
    <t>Cena za Vozokm pro upravené výkony a upravený počet vozidel</t>
  </si>
  <si>
    <t>Cena za Vozokm (bez přejezdů)</t>
  </si>
  <si>
    <t>Index pro elektřinu</t>
  </si>
  <si>
    <t>Váha subkritéria "Přepočtená cenová nabídka"</t>
  </si>
  <si>
    <t>ZÁKLADNÍ CENOVÁ NABÍDKA PRO VŠECHNY TYPY POHONU</t>
  </si>
  <si>
    <t>PŘEPOČTENÁ CENOVÁ NABÍDKA PRO VŠECHNY TYPY POHONU</t>
  </si>
  <si>
    <t>Cena Vozokm neujetého Spoje (pokud důvod pro neujetí nebyl na straně Dopravce)</t>
  </si>
  <si>
    <t>#</t>
  </si>
  <si>
    <t>Sazba spotřební daně (Kč/MWh)</t>
  </si>
  <si>
    <t>Sazba spotřební daně (Kč/kg)</t>
  </si>
  <si>
    <t>Faktor pro přepočet na kg (MWh/kg)</t>
  </si>
  <si>
    <t>Cenova nabidka NAFTA</t>
  </si>
  <si>
    <t>V oblasti L32:W32 špatný vzorec, nezahrnuje nový řádek 31.</t>
  </si>
  <si>
    <t>Cenova nabidka CNG</t>
  </si>
  <si>
    <t>Není chybou</t>
  </si>
  <si>
    <t>Uvažovaná cena pro kalendářní rok(Kč/kg)</t>
  </si>
  <si>
    <t>Index pro daný kalendářní rok (pro soutěž)</t>
  </si>
  <si>
    <t>Vstupy pro hodnocení vlivu spotřební daně na cenu CNG</t>
  </si>
  <si>
    <t>Cenova nabidka ELEKTRO - Cenova nabidka uchazece pro dany typ pohonu. Tabulka jednotkovych nakladu pro vychozi rok, tabulka rocnich nakladu pro prumerny rok, tabulka rocnich nakladu pro jednotlive roky zakazky</t>
  </si>
  <si>
    <t>Vypocty ELEKTRO - Vypocet cen (bezne ceny) pro dany typ pohonu a pro jednotlive roky trvani smlouvy</t>
  </si>
  <si>
    <t xml:space="preserve">V buňce L8 odlišný vzorec jak v totožné buňce na listu "Cenova nabidka NAFTA"
 a "ELEKTRO". </t>
  </si>
  <si>
    <t>V oblasti N8:W8 odlišné vzorce od totožných buněk v případě "NAFTA" a "ELEKTRO".
Na výsledek nemá vliv, ale mohl by zmátnout při pozdější kontrole.</t>
  </si>
  <si>
    <t>Cenova nabidka ELEKTRO</t>
  </si>
  <si>
    <t>elektro</t>
  </si>
  <si>
    <t>Elektro</t>
  </si>
  <si>
    <t>ELEKTRO</t>
  </si>
  <si>
    <t>Pohonné hmoty a oleje - Elektro</t>
  </si>
  <si>
    <t>Váhy sub-kritérií pro hodnocení dílčího hodnotícího kritéria "Technická kritéria nabídky"</t>
  </si>
  <si>
    <t>na základě podílu vybraných sub-kritérií na vozovém parku za celé období veřejné zakázky</t>
  </si>
  <si>
    <t>Sub-kritérium</t>
  </si>
  <si>
    <t>Přepočtená nabídka je pro změnu výkonu o</t>
  </si>
  <si>
    <t>Celkový počet bodů pro dílčí hodnotící kritérium "Technická kritéria nabídky"</t>
  </si>
  <si>
    <t>Vážená průměrná nabídková cena za 1 Vozokm pro dílčí hodnotící kritérium "Nabídková cena"</t>
  </si>
  <si>
    <t>Kritérium</t>
  </si>
  <si>
    <t>Index pro CNG</t>
  </si>
  <si>
    <t>(nepoužívá se)</t>
  </si>
  <si>
    <r>
      <t xml:space="preserve">Výchozí rok </t>
    </r>
    <r>
      <rPr>
        <i/>
        <sz val="10"/>
        <color theme="1"/>
        <rFont val="Arial"/>
        <family val="2"/>
      </rPr>
      <t>(ve smyslu čl. 2.2 Přílohy č. 17 Zádavací dokumentace - Výpočet kompenzace)</t>
    </r>
  </si>
  <si>
    <t>Index pro daný Dopravní rok (pro soutěž)</t>
  </si>
  <si>
    <t>Jednotkový náklad za elektronické mýtné v prvním Dopravním roce (Kč/Vozokm)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</si>
</sst>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00"/>
    <numFmt numFmtId="166" formatCode="0.000"/>
    <numFmt numFmtId="167" formatCode="\+0.0%;\-0.0%;0.0%"/>
    <numFmt numFmtId="168" formatCode="#,##0.00\ [$Kč-405]"/>
    <numFmt numFmtId="169" formatCode="0.0%"/>
    <numFmt numFmtId="170" formatCode="0%;\-0%;"/>
    <numFmt numFmtId="171" formatCode="0.0;\-0.0;"/>
    <numFmt numFmtId="172" formatCode="#,##0.00;\-#,##0.00;"/>
    <numFmt numFmtId="173" formatCode="0.00000"/>
  </numFmts>
  <fonts count="35">
    <font>
      <sz val="10"/>
      <color theme="1"/>
      <name val="Arial"/>
      <family val="2"/>
    </font>
    <font>
      <sz val="10"/>
      <name val="Arial"/>
      <family val="2"/>
    </font>
    <font>
      <b/>
      <sz val="10"/>
      <color theme="1"/>
      <name val="Arial"/>
      <family val="2"/>
    </font>
    <font>
      <sz val="11"/>
      <color theme="1"/>
      <name val="Calibri"/>
      <family val="2"/>
      <scheme val="minor"/>
    </font>
    <font>
      <sz val="10"/>
      <color theme="0" tint="-0.24997000396251678"/>
      <name val="Arial"/>
      <family val="2"/>
    </font>
    <font>
      <i/>
      <sz val="10"/>
      <color theme="1"/>
      <name val="Arial"/>
      <family val="2"/>
    </font>
    <font>
      <b/>
      <sz val="10"/>
      <color theme="0" tint="-0.24997000396251678"/>
      <name val="Arial"/>
      <family val="2"/>
    </font>
    <font>
      <sz val="10"/>
      <color theme="0"/>
      <name val="Arial"/>
      <family val="2"/>
    </font>
    <font>
      <sz val="9"/>
      <name val="Tahoma"/>
      <family val="2"/>
    </font>
    <font>
      <b/>
      <sz val="9"/>
      <name val="Tahoma"/>
      <family val="2"/>
    </font>
    <font>
      <b/>
      <sz val="10"/>
      <color rgb="FFFF0000"/>
      <name val="Arial"/>
      <family val="2"/>
    </font>
    <font>
      <b/>
      <sz val="20"/>
      <color theme="1"/>
      <name val="Arial"/>
      <family val="2"/>
    </font>
    <font>
      <sz val="12"/>
      <color theme="1"/>
      <name val="Arial"/>
      <family val="2"/>
    </font>
    <font>
      <b/>
      <sz val="12"/>
      <color theme="1"/>
      <name val="Arial"/>
      <family val="2"/>
    </font>
    <font>
      <sz val="20"/>
      <color theme="1"/>
      <name val="Arial"/>
      <family val="2"/>
    </font>
    <font>
      <sz val="14"/>
      <color theme="1"/>
      <name val="Arial"/>
      <family val="2"/>
    </font>
    <font>
      <b/>
      <i/>
      <sz val="10"/>
      <color theme="1"/>
      <name val="Arial"/>
      <family val="2"/>
    </font>
    <font>
      <b/>
      <sz val="10"/>
      <color theme="0" tint="-0.1499900072813034"/>
      <name val="Arial"/>
      <family val="2"/>
    </font>
    <font>
      <b/>
      <sz val="10"/>
      <color rgb="FFB86E00"/>
      <name val="Arial"/>
      <family val="2"/>
    </font>
    <font>
      <sz val="10"/>
      <name val="Times New Roman"/>
      <family val="1"/>
    </font>
    <font>
      <b/>
      <sz val="14"/>
      <name val="Lucida Sans"/>
      <family val="2"/>
    </font>
    <font>
      <sz val="10"/>
      <name val="Lucida Sans"/>
      <family val="2"/>
    </font>
    <font>
      <b/>
      <sz val="10"/>
      <name val="Lucida Sans"/>
      <family val="2"/>
    </font>
    <font>
      <sz val="9"/>
      <name val="Lucida Sans"/>
      <family val="2"/>
    </font>
    <font>
      <b/>
      <i/>
      <sz val="8"/>
      <name val="Lucida Sans"/>
      <family val="2"/>
    </font>
    <font>
      <i/>
      <sz val="8"/>
      <name val="Lucida Sans"/>
      <family val="2"/>
    </font>
    <font>
      <b/>
      <i/>
      <sz val="10"/>
      <name val="Lucida Sans"/>
      <family val="2"/>
    </font>
    <font>
      <b/>
      <sz val="8"/>
      <name val="Lucida Sans"/>
      <family val="2"/>
    </font>
    <font>
      <u val="single"/>
      <sz val="7.5"/>
      <color indexed="12"/>
      <name val="Arial"/>
      <family val="2"/>
    </font>
    <font>
      <sz val="9"/>
      <color rgb="FFFF0000"/>
      <name val="Lucida Sans"/>
      <family val="2"/>
    </font>
    <font>
      <i/>
      <sz val="10"/>
      <color theme="0" tint="-0.1499900072813034"/>
      <name val="Arial"/>
      <family val="2"/>
    </font>
    <font>
      <sz val="11"/>
      <color theme="0"/>
      <name val="Arial"/>
      <family val="2"/>
    </font>
    <font>
      <sz val="10"/>
      <color theme="1"/>
      <name val="Arial"/>
      <family val="2"/>
      <scheme val="minor"/>
    </font>
    <font>
      <sz val="10"/>
      <color theme="0"/>
      <name val="Arial"/>
      <family val="2"/>
      <scheme val="minor"/>
    </font>
    <font>
      <b/>
      <sz val="8"/>
      <name val="Arial"/>
      <family val="2"/>
    </font>
  </fonts>
  <fills count="17">
    <fill>
      <patternFill/>
    </fill>
    <fill>
      <patternFill patternType="gray125"/>
    </fill>
    <fill>
      <patternFill patternType="solid">
        <fgColor theme="3" tint="0.7999799847602844"/>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00FF"/>
        <bgColor indexed="64"/>
      </patternFill>
    </fill>
    <fill>
      <patternFill patternType="solid">
        <fgColor rgb="FF2D82FF"/>
        <bgColor indexed="64"/>
      </patternFill>
    </fill>
    <fill>
      <patternFill patternType="solid">
        <fgColor rgb="FFC1DAFF"/>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32">
    <border>
      <left/>
      <right/>
      <top/>
      <bottom/>
      <diagonal/>
    </border>
    <border>
      <left style="thin"/>
      <right style="double"/>
      <top style="thin"/>
      <bottom style="hair"/>
    </border>
    <border>
      <left style="thin"/>
      <right style="double"/>
      <top style="hair"/>
      <bottom style="thin"/>
    </border>
    <border>
      <left style="thin"/>
      <right style="double"/>
      <top style="hair"/>
      <bottom style="medium"/>
    </border>
    <border>
      <left style="medium"/>
      <right style="thin"/>
      <top style="medium"/>
      <bottom style="double"/>
    </border>
    <border>
      <left style="medium"/>
      <right style="thin"/>
      <top style="thin"/>
      <bottom style="thin"/>
    </border>
    <border>
      <left style="medium"/>
      <right style="thin"/>
      <top style="thin"/>
      <bottom style="medium"/>
    </border>
    <border>
      <left style="medium"/>
      <right style="thin"/>
      <top style="medium"/>
      <bottom/>
    </border>
    <border>
      <left style="thin"/>
      <right style="thin"/>
      <top style="medium"/>
      <bottom/>
    </border>
    <border>
      <left style="medium"/>
      <right style="thin"/>
      <top style="double"/>
      <bottom/>
    </border>
    <border>
      <left style="thin"/>
      <right style="thin"/>
      <top style="double"/>
      <bottom/>
    </border>
    <border>
      <left style="thin"/>
      <right style="thin"/>
      <top/>
      <bottom style="thin"/>
    </border>
    <border>
      <left style="medium"/>
      <right style="thin"/>
      <top/>
      <bottom/>
    </border>
    <border>
      <left style="thin"/>
      <right style="thin"/>
      <top/>
      <bottom/>
    </border>
    <border>
      <left style="thin"/>
      <right style="thin"/>
      <top style="thin"/>
      <bottom style="thin"/>
    </border>
    <border>
      <left style="medium"/>
      <right style="thin"/>
      <top/>
      <bottom style="thin"/>
    </border>
    <border>
      <left style="medium"/>
      <right style="thin"/>
      <top style="thin"/>
      <bottom/>
    </border>
    <border>
      <left style="thin"/>
      <right style="thin"/>
      <top style="thin"/>
      <bottom/>
    </border>
    <border>
      <left/>
      <right/>
      <top style="thin"/>
      <bottom style="thin"/>
    </border>
    <border>
      <left/>
      <right/>
      <top style="thin"/>
      <bottom style="medium"/>
    </border>
    <border>
      <left style="thin"/>
      <right style="thin"/>
      <top/>
      <bottom style="double"/>
    </border>
    <border>
      <left style="thin"/>
      <right style="thin"/>
      <top style="thin"/>
      <bottom style="medium"/>
    </border>
    <border>
      <left style="medium"/>
      <right style="thin"/>
      <top/>
      <bottom style="double"/>
    </border>
    <border>
      <left style="thin"/>
      <right style="medium"/>
      <top/>
      <bottom style="double"/>
    </border>
    <border>
      <left style="thin"/>
      <right/>
      <top style="thin"/>
      <bottom style="thin"/>
    </border>
    <border>
      <left/>
      <right style="thin"/>
      <top style="thin"/>
      <bottom style="thin"/>
    </border>
    <border>
      <left/>
      <right/>
      <top/>
      <bottom style="thin"/>
    </border>
    <border>
      <left style="thin"/>
      <right/>
      <top style="thin"/>
      <bottom style="medium"/>
    </border>
    <border>
      <left/>
      <right style="thin"/>
      <top style="thin"/>
      <bottom style="medium"/>
    </border>
    <border>
      <left style="thin"/>
      <right/>
      <top/>
      <bottom style="thin"/>
    </border>
    <border>
      <left/>
      <right style="thin"/>
      <top/>
      <bottom style="thin"/>
    </border>
    <border>
      <left/>
      <right/>
      <top style="thin"/>
      <bottom/>
    </border>
    <border>
      <left/>
      <right style="thin"/>
      <top style="thin"/>
      <bottom/>
    </border>
    <border>
      <left style="thin"/>
      <right/>
      <top/>
      <bottom/>
    </border>
    <border>
      <left/>
      <right style="thin"/>
      <top/>
      <bottom/>
    </border>
    <border>
      <left style="thin"/>
      <right style="double"/>
      <top/>
      <bottom style="hair"/>
    </border>
    <border>
      <left style="double"/>
      <right style="hair"/>
      <top style="thin"/>
      <bottom style="double"/>
    </border>
    <border>
      <left style="hair"/>
      <right style="hair"/>
      <top style="thin"/>
      <bottom style="double"/>
    </border>
    <border>
      <left style="hair"/>
      <right style="medium"/>
      <top style="thin"/>
      <bottom style="double"/>
    </border>
    <border>
      <left style="thin"/>
      <right/>
      <top style="medium"/>
      <bottom style="double"/>
    </border>
    <border>
      <left style="thin"/>
      <right/>
      <top/>
      <bottom style="hair"/>
    </border>
    <border>
      <left style="thin"/>
      <right/>
      <top style="hair"/>
      <bottom style="thin"/>
    </border>
    <border>
      <left style="thin"/>
      <right style="double"/>
      <top style="hair"/>
      <bottom/>
    </border>
    <border>
      <left/>
      <right/>
      <top style="medium"/>
      <bottom style="medium"/>
    </border>
    <border>
      <left/>
      <right style="medium"/>
      <top style="medium"/>
      <bottom style="medium"/>
    </border>
    <border>
      <left style="medium"/>
      <right style="thin"/>
      <top style="medium"/>
      <bottom style="medium"/>
    </border>
    <border>
      <left/>
      <right style="thin"/>
      <top style="medium"/>
      <bottom style="medium"/>
    </border>
    <border>
      <left style="medium"/>
      <right/>
      <top style="medium"/>
      <bottom style="medium"/>
    </border>
    <border>
      <left style="thin"/>
      <right/>
      <top style="medium"/>
      <bottom style="medium"/>
    </border>
    <border>
      <left style="thin"/>
      <right/>
      <top/>
      <bottom style="double"/>
    </border>
    <border>
      <left style="thin"/>
      <right/>
      <top style="medium"/>
      <bottom/>
    </border>
    <border>
      <left style="thin"/>
      <right style="medium"/>
      <top style="medium"/>
      <bottom/>
    </border>
    <border>
      <left style="medium"/>
      <right style="medium"/>
      <top style="thin"/>
      <bottom style="thin"/>
    </border>
    <border>
      <left style="medium"/>
      <right style="medium"/>
      <top style="medium"/>
      <bottom/>
    </border>
    <border>
      <left style="medium"/>
      <right style="medium"/>
      <top/>
      <bottom style="double"/>
    </border>
    <border>
      <left style="medium"/>
      <right style="medium"/>
      <top/>
      <bottom style="thin"/>
    </border>
    <border>
      <left style="thin"/>
      <right style="medium"/>
      <top/>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style="medium"/>
      <top style="medium"/>
      <bottom style="medium"/>
    </border>
    <border>
      <left style="thin"/>
      <right/>
      <top style="thin"/>
      <bottom/>
    </border>
    <border>
      <left/>
      <right/>
      <top style="double"/>
      <bottom style="thin"/>
    </border>
    <border>
      <left/>
      <right/>
      <top/>
      <bottom style="medium"/>
    </border>
    <border>
      <left/>
      <right style="medium"/>
      <top style="double"/>
      <bottom style="thin"/>
    </border>
    <border>
      <left/>
      <right style="medium"/>
      <top style="thin"/>
      <bottom style="thin"/>
    </border>
    <border>
      <left/>
      <right style="medium"/>
      <top/>
      <bottom/>
    </border>
    <border>
      <left/>
      <right style="medium"/>
      <top style="thin"/>
      <bottom style="medium"/>
    </border>
    <border>
      <left/>
      <right style="medium"/>
      <top/>
      <bottom style="medium"/>
    </border>
    <border>
      <left style="thin"/>
      <right/>
      <top style="thin"/>
      <bottom style="double"/>
    </border>
    <border>
      <left/>
      <right style="thin"/>
      <top style="thin"/>
      <bottom style="double"/>
    </border>
    <border>
      <left style="thin"/>
      <right style="thin"/>
      <top style="thin"/>
      <bottom style="double"/>
    </border>
    <border>
      <left style="double"/>
      <right style="hair"/>
      <top style="double"/>
      <bottom style="hair"/>
    </border>
    <border>
      <left style="hair"/>
      <right style="hair"/>
      <top style="thin"/>
      <bottom style="hair"/>
    </border>
    <border>
      <left style="hair"/>
      <right style="medium"/>
      <top style="thin"/>
      <bottom style="hair"/>
    </border>
    <border>
      <left/>
      <right style="hair"/>
      <top style="thin"/>
      <bottom style="hair"/>
    </border>
    <border>
      <left/>
      <right style="hair"/>
      <top style="hair"/>
      <bottom style="thin"/>
    </border>
    <border>
      <left style="hair"/>
      <right style="hair"/>
      <top style="hair"/>
      <bottom style="thin"/>
    </border>
    <border>
      <left style="hair"/>
      <right style="medium"/>
      <top style="hair"/>
      <bottom style="thin"/>
    </border>
    <border>
      <left/>
      <right style="hair"/>
      <top style="hair"/>
      <bottom style="medium"/>
    </border>
    <border>
      <left style="hair"/>
      <right style="hair"/>
      <top style="hair"/>
      <bottom style="medium"/>
    </border>
    <border>
      <left style="hair"/>
      <right style="medium"/>
      <top style="hair"/>
      <bottom style="medium"/>
    </border>
    <border>
      <left style="medium"/>
      <right/>
      <top style="medium"/>
      <bottom style="thin"/>
    </border>
    <border>
      <left/>
      <right/>
      <top style="medium"/>
      <bottom style="thin"/>
    </border>
    <border>
      <left/>
      <right style="medium"/>
      <top style="medium"/>
      <bottom style="thin"/>
    </border>
    <border>
      <left style="medium"/>
      <right/>
      <top/>
      <bottom/>
    </border>
    <border>
      <left style="medium"/>
      <right/>
      <top style="thin"/>
      <bottom style="thin"/>
    </border>
    <border>
      <left style="medium"/>
      <right/>
      <top style="thin"/>
      <bottom/>
    </border>
    <border>
      <left/>
      <right style="medium"/>
      <top style="thin"/>
      <bottom/>
    </border>
    <border>
      <left style="medium"/>
      <right/>
      <top/>
      <bottom style="medium"/>
    </border>
    <border>
      <left/>
      <right style="thin"/>
      <top/>
      <bottom style="medium"/>
    </border>
    <border>
      <left style="thin"/>
      <right/>
      <top/>
      <bottom style="medium"/>
    </border>
    <border>
      <left/>
      <right/>
      <top style="medium"/>
      <bottom/>
    </border>
    <border>
      <left style="double"/>
      <right style="hair"/>
      <top style="hair"/>
      <bottom style="thin"/>
    </border>
    <border>
      <left/>
      <right style="hair"/>
      <top style="hair"/>
      <bottom/>
    </border>
    <border>
      <left style="hair"/>
      <right style="hair"/>
      <top style="hair"/>
      <bottom/>
    </border>
    <border>
      <left style="hair"/>
      <right style="medium"/>
      <top style="hair"/>
      <bottom/>
    </border>
    <border>
      <left/>
      <right style="hair"/>
      <top/>
      <bottom style="hair"/>
    </border>
    <border>
      <left style="hair"/>
      <right style="hair"/>
      <top/>
      <bottom style="hair"/>
    </border>
    <border>
      <left style="hair"/>
      <right style="medium"/>
      <top/>
      <bottom style="hair"/>
    </border>
    <border>
      <left style="thin"/>
      <right style="medium"/>
      <top style="thin"/>
      <bottom/>
    </border>
    <border>
      <left style="medium"/>
      <right/>
      <top style="medium"/>
      <bottom/>
    </border>
    <border>
      <left/>
      <right style="medium"/>
      <top style="medium"/>
      <bottom/>
    </border>
    <border>
      <left/>
      <right style="thin"/>
      <top style="double"/>
      <bottom style="thin"/>
    </border>
    <border>
      <left style="medium"/>
      <right/>
      <top style="thin"/>
      <bottom style="medium"/>
    </border>
    <border>
      <left/>
      <right style="thin"/>
      <top style="medium"/>
      <bottom style="thin"/>
    </border>
    <border>
      <left style="thin"/>
      <right style="thin"/>
      <top style="medium"/>
      <bottom style="thin"/>
    </border>
    <border>
      <left style="thin"/>
      <right style="medium"/>
      <top style="medium"/>
      <bottom style="thin"/>
    </border>
    <border>
      <left/>
      <right style="medium"/>
      <top/>
      <bottom style="thin"/>
    </border>
    <border>
      <left/>
      <right style="thin"/>
      <top style="medium"/>
      <bottom/>
    </border>
    <border>
      <left style="thin"/>
      <right style="medium"/>
      <top/>
      <bottom/>
    </border>
    <border>
      <left/>
      <right style="thin"/>
      <top/>
      <bottom style="double"/>
    </border>
    <border>
      <left style="thin"/>
      <right/>
      <top style="double"/>
      <bottom/>
    </border>
    <border>
      <left/>
      <right style="thin"/>
      <top style="double"/>
      <bottom/>
    </border>
    <border>
      <left style="thin"/>
      <right/>
      <top style="medium"/>
      <bottom style="thin"/>
    </border>
    <border>
      <left style="thin"/>
      <right style="thin"/>
      <top style="double"/>
      <bottom style="thin"/>
    </border>
    <border>
      <left style="thin"/>
      <right style="medium"/>
      <top style="double"/>
      <bottom style="thin"/>
    </border>
    <border>
      <left style="thin"/>
      <right style="thin"/>
      <top style="medium"/>
      <bottom style="double"/>
    </border>
    <border>
      <left style="thin"/>
      <right style="medium"/>
      <top style="medium"/>
      <bottom style="double"/>
    </border>
    <border>
      <left style="medium"/>
      <right/>
      <top style="double"/>
      <bottom/>
    </border>
    <border>
      <left style="medium"/>
      <right/>
      <top/>
      <bottom style="thin"/>
    </border>
    <border>
      <left style="double"/>
      <right/>
      <top style="medium"/>
      <bottom style="thin"/>
    </border>
    <border>
      <left style="medium"/>
      <right/>
      <top/>
      <bottom style="double"/>
    </border>
    <border>
      <left style="thin"/>
      <right style="thin"/>
      <top style="medium"/>
      <bottom style="medium"/>
    </border>
    <border>
      <left style="thin"/>
      <right style="medium"/>
      <top style="medium"/>
      <bottom style="medium"/>
    </border>
    <border>
      <left style="double"/>
      <right style="thin"/>
      <top style="medium"/>
      <bottom style="double"/>
    </border>
    <border>
      <left style="double"/>
      <right style="thin"/>
      <top style="double"/>
      <bottom style="thin"/>
    </border>
    <border>
      <left style="double"/>
      <right style="thin"/>
      <top style="thin"/>
      <bottom style="thin"/>
    </border>
    <border>
      <left style="double"/>
      <right style="thin"/>
      <top style="thin"/>
      <bottom style="medium"/>
    </border>
    <border>
      <left style="medium"/>
      <right style="thin"/>
      <top/>
      <bottom style="medium"/>
    </border>
    <border>
      <left/>
      <right/>
      <top/>
      <bottom style="double"/>
    </border>
    <border>
      <left/>
      <right style="medium"/>
      <top/>
      <bottom style="double"/>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9" fontId="0" fillId="0" borderId="0" applyFont="0" applyFill="0" applyBorder="0" applyAlignment="0" applyProtection="0"/>
    <xf numFmtId="0" fontId="19" fillId="0" borderId="0">
      <alignment/>
      <protection/>
    </xf>
    <xf numFmtId="0" fontId="28" fillId="0" borderId="0" applyNumberFormat="0" applyFill="0" applyBorder="0">
      <alignment/>
      <protection locked="0"/>
    </xf>
    <xf numFmtId="0" fontId="3" fillId="0" borderId="0">
      <alignment/>
      <protection/>
    </xf>
  </cellStyleXfs>
  <cellXfs count="752">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0" xfId="0" applyFont="1"/>
    <xf numFmtId="0" fontId="0" fillId="3" borderId="4" xfId="0"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0" fillId="0" borderId="0" xfId="0" applyAlignment="1">
      <alignment wrapText="1"/>
    </xf>
    <xf numFmtId="0" fontId="0" fillId="0" borderId="0" xfId="0" applyFill="1"/>
    <xf numFmtId="0" fontId="0" fillId="4" borderId="0" xfId="0" applyFill="1"/>
    <xf numFmtId="0" fontId="2" fillId="4" borderId="0" xfId="0" applyFont="1" applyFill="1"/>
    <xf numFmtId="0" fontId="0" fillId="4" borderId="0" xfId="0" applyFill="1" applyAlignment="1">
      <alignment wrapText="1"/>
    </xf>
    <xf numFmtId="0" fontId="2" fillId="4" borderId="7" xfId="0" applyFont="1" applyFill="1" applyBorder="1" applyAlignment="1">
      <alignment wrapText="1"/>
    </xf>
    <xf numFmtId="0" fontId="2" fillId="4" borderId="8" xfId="0" applyFont="1" applyFill="1" applyBorder="1" applyAlignment="1">
      <alignment wrapText="1"/>
    </xf>
    <xf numFmtId="0" fontId="0" fillId="4" borderId="9" xfId="0" applyFill="1" applyBorder="1"/>
    <xf numFmtId="0" fontId="0" fillId="4" borderId="10" xfId="0" applyFill="1" applyBorder="1"/>
    <xf numFmtId="0" fontId="0" fillId="4" borderId="11" xfId="0" applyFill="1" applyBorder="1" applyAlignment="1">
      <alignment horizontal="right"/>
    </xf>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applyAlignment="1">
      <alignment horizontal="right"/>
    </xf>
    <xf numFmtId="0" fontId="0" fillId="4" borderId="14" xfId="0" applyFill="1" applyBorder="1"/>
    <xf numFmtId="0" fontId="0" fillId="4" borderId="15" xfId="0" applyFill="1" applyBorder="1"/>
    <xf numFmtId="0" fontId="0" fillId="4" borderId="5" xfId="0" applyFill="1" applyBorder="1"/>
    <xf numFmtId="0" fontId="0" fillId="4" borderId="16" xfId="0" applyFill="1" applyBorder="1"/>
    <xf numFmtId="0" fontId="0" fillId="4" borderId="17" xfId="0" applyFill="1" applyBorder="1"/>
    <xf numFmtId="0" fontId="0" fillId="4" borderId="6" xfId="0" applyFill="1" applyBorder="1"/>
    <xf numFmtId="0" fontId="0" fillId="4" borderId="18" xfId="0" applyFill="1" applyBorder="1"/>
    <xf numFmtId="0" fontId="0" fillId="4" borderId="19" xfId="0" applyFill="1" applyBorder="1"/>
    <xf numFmtId="0" fontId="0" fillId="4" borderId="0" xfId="0" applyFill="1" applyAlignment="1">
      <alignment horizontal="center"/>
    </xf>
    <xf numFmtId="0" fontId="2" fillId="3" borderId="8" xfId="0" applyFont="1" applyFill="1" applyBorder="1" applyAlignment="1">
      <alignment horizontal="center" wrapText="1"/>
    </xf>
    <xf numFmtId="0" fontId="2" fillId="4" borderId="8" xfId="0" applyFont="1" applyFill="1" applyBorder="1" applyAlignment="1">
      <alignment horizontal="center" wrapText="1"/>
    </xf>
    <xf numFmtId="0" fontId="0" fillId="3" borderId="20" xfId="0" applyFill="1" applyBorder="1" applyAlignment="1">
      <alignment horizontal="center" wrapText="1"/>
    </xf>
    <xf numFmtId="0" fontId="0" fillId="4" borderId="20" xfId="0" applyFill="1" applyBorder="1" applyAlignment="1">
      <alignment horizontal="center" wrapText="1"/>
    </xf>
    <xf numFmtId="9" fontId="0" fillId="4" borderId="11" xfId="0" applyNumberFormat="1" applyFill="1" applyBorder="1" applyAlignment="1">
      <alignment horizontal="center"/>
    </xf>
    <xf numFmtId="9" fontId="0" fillId="4" borderId="14" xfId="0" applyNumberFormat="1" applyFill="1" applyBorder="1" applyAlignment="1">
      <alignment horizontal="center"/>
    </xf>
    <xf numFmtId="9" fontId="0" fillId="0" borderId="14" xfId="0" applyNumberFormat="1" applyFill="1" applyBorder="1" applyAlignment="1">
      <alignment horizontal="center"/>
    </xf>
    <xf numFmtId="9" fontId="2" fillId="0" borderId="21" xfId="0" applyNumberFormat="1" applyFont="1" applyFill="1" applyBorder="1" applyAlignment="1">
      <alignment horizontal="center"/>
    </xf>
    <xf numFmtId="9" fontId="2" fillId="4" borderId="21" xfId="0" applyNumberFormat="1" applyFont="1" applyFill="1" applyBorder="1" applyAlignment="1">
      <alignment horizontal="center"/>
    </xf>
    <xf numFmtId="0" fontId="0" fillId="0" borderId="0" xfId="0" applyFill="1" applyAlignment="1">
      <alignment horizontal="center"/>
    </xf>
    <xf numFmtId="0" fontId="0" fillId="4" borderId="0" xfId="0" applyFill="1" applyAlignment="1">
      <alignment horizontal="center" wrapText="1"/>
    </xf>
    <xf numFmtId="0" fontId="0" fillId="4" borderId="22" xfId="0" applyFill="1" applyBorder="1" applyAlignment="1">
      <alignment horizontal="center" wrapText="1"/>
    </xf>
    <xf numFmtId="0" fontId="0" fillId="4" borderId="23" xfId="0" applyFill="1" applyBorder="1" applyAlignment="1">
      <alignment horizontal="center" wrapText="1"/>
    </xf>
    <xf numFmtId="0" fontId="0" fillId="0" borderId="0" xfId="0" applyAlignment="1">
      <alignment horizontal="center" wrapText="1"/>
    </xf>
    <xf numFmtId="0" fontId="0" fillId="4" borderId="5" xfId="0" applyFill="1" applyBorder="1" applyAlignment="1" quotePrefix="1">
      <alignment horizontal="right"/>
    </xf>
    <xf numFmtId="0" fontId="0" fillId="4" borderId="6" xfId="0" applyFill="1" applyBorder="1" applyAlignment="1" quotePrefix="1">
      <alignment horizontal="right"/>
    </xf>
    <xf numFmtId="0" fontId="0" fillId="4" borderId="24" xfId="0" applyFill="1" applyBorder="1"/>
    <xf numFmtId="0" fontId="0" fillId="4" borderId="25" xfId="0" applyFill="1" applyBorder="1"/>
    <xf numFmtId="0" fontId="0" fillId="4" borderId="18" xfId="0" applyFill="1" applyBorder="1" applyAlignment="1">
      <alignment horizontal="right"/>
    </xf>
    <xf numFmtId="0" fontId="4" fillId="4" borderId="0" xfId="0" applyFont="1" applyFill="1"/>
    <xf numFmtId="0" fontId="5" fillId="4" borderId="0" xfId="0" applyFont="1" applyFill="1"/>
    <xf numFmtId="166" fontId="0" fillId="4" borderId="14" xfId="0" applyNumberFormat="1" applyFill="1" applyBorder="1"/>
    <xf numFmtId="0" fontId="2" fillId="4" borderId="0" xfId="0" applyFont="1" applyFill="1" applyBorder="1" applyAlignment="1">
      <alignment wrapText="1"/>
    </xf>
    <xf numFmtId="0" fontId="0" fillId="4" borderId="0" xfId="0" applyFill="1" applyBorder="1"/>
    <xf numFmtId="0" fontId="2" fillId="4" borderId="0" xfId="0" applyFont="1" applyFill="1" applyBorder="1"/>
    <xf numFmtId="0" fontId="0" fillId="4" borderId="14" xfId="0" applyFill="1" applyBorder="1" applyAlignment="1">
      <alignment horizontal="left"/>
    </xf>
    <xf numFmtId="166" fontId="0" fillId="4" borderId="14" xfId="0" applyNumberFormat="1" applyFill="1" applyBorder="1" applyAlignment="1">
      <alignment/>
    </xf>
    <xf numFmtId="0" fontId="0" fillId="4" borderId="14" xfId="0" applyFont="1" applyFill="1" applyBorder="1" applyAlignment="1">
      <alignment wrapText="1"/>
    </xf>
    <xf numFmtId="3" fontId="0" fillId="4" borderId="14" xfId="0" applyNumberFormat="1" applyFill="1" applyBorder="1" applyAlignment="1">
      <alignment/>
    </xf>
    <xf numFmtId="2" fontId="2" fillId="4" borderId="24" xfId="0" applyNumberFormat="1" applyFont="1" applyFill="1" applyBorder="1"/>
    <xf numFmtId="2" fontId="2" fillId="4" borderId="25" xfId="0" applyNumberFormat="1" applyFont="1" applyFill="1" applyBorder="1"/>
    <xf numFmtId="2" fontId="2" fillId="4" borderId="14" xfId="0" applyNumberFormat="1" applyFont="1" applyFill="1" applyBorder="1" applyAlignment="1">
      <alignment/>
    </xf>
    <xf numFmtId="0" fontId="2" fillId="4" borderId="24" xfId="0" applyFont="1" applyFill="1" applyBorder="1"/>
    <xf numFmtId="0" fontId="2" fillId="4" borderId="25" xfId="0" applyFont="1" applyFill="1" applyBorder="1"/>
    <xf numFmtId="3" fontId="2" fillId="4" borderId="14" xfId="0" applyNumberFormat="1" applyFont="1" applyFill="1" applyBorder="1" applyAlignment="1">
      <alignment/>
    </xf>
    <xf numFmtId="0" fontId="6" fillId="4" borderId="0" xfId="0" applyFont="1" applyFill="1"/>
    <xf numFmtId="0" fontId="0" fillId="4" borderId="17" xfId="0" applyFill="1" applyBorder="1" applyAlignment="1">
      <alignment horizontal="left"/>
    </xf>
    <xf numFmtId="0" fontId="0" fillId="4" borderId="13" xfId="0" applyFill="1" applyBorder="1" applyAlignment="1">
      <alignment horizontal="left"/>
    </xf>
    <xf numFmtId="0" fontId="2" fillId="4" borderId="13" xfId="0" applyFont="1" applyFill="1" applyBorder="1" applyAlignment="1">
      <alignment horizontal="left"/>
    </xf>
    <xf numFmtId="2" fontId="2" fillId="4" borderId="11" xfId="0" applyNumberFormat="1" applyFont="1" applyFill="1" applyBorder="1" applyAlignment="1">
      <alignment horizontal="left"/>
    </xf>
    <xf numFmtId="3" fontId="0" fillId="5" borderId="14" xfId="0" applyNumberFormat="1" applyFill="1" applyBorder="1" applyAlignment="1">
      <alignment/>
    </xf>
    <xf numFmtId="167" fontId="0" fillId="6" borderId="14" xfId="0" applyNumberFormat="1" applyFill="1" applyBorder="1" applyAlignment="1">
      <alignment/>
    </xf>
    <xf numFmtId="0" fontId="7" fillId="7" borderId="14" xfId="0" applyFont="1" applyFill="1" applyBorder="1"/>
    <xf numFmtId="0" fontId="7" fillId="7" borderId="14" xfId="0" applyFont="1" applyFill="1" applyBorder="1" applyAlignment="1">
      <alignment wrapText="1"/>
    </xf>
    <xf numFmtId="0" fontId="7" fillId="8" borderId="14" xfId="0" applyFont="1" applyFill="1" applyBorder="1" applyAlignment="1">
      <alignment wrapText="1"/>
    </xf>
    <xf numFmtId="0" fontId="0" fillId="9" borderId="14" xfId="0" applyFont="1" applyFill="1" applyBorder="1" applyAlignment="1">
      <alignment wrapText="1"/>
    </xf>
    <xf numFmtId="3" fontId="0" fillId="4" borderId="14" xfId="0" applyNumberFormat="1" applyFill="1" applyBorder="1"/>
    <xf numFmtId="0" fontId="0" fillId="4" borderId="0" xfId="0" applyFill="1" applyBorder="1" applyAlignment="1">
      <alignment horizontal="right"/>
    </xf>
    <xf numFmtId="0" fontId="0" fillId="4" borderId="0" xfId="0" applyFill="1" applyAlignment="1">
      <alignment horizontal="right"/>
    </xf>
    <xf numFmtId="0" fontId="0" fillId="4" borderId="26" xfId="0" applyFill="1" applyBorder="1"/>
    <xf numFmtId="0" fontId="0" fillId="4" borderId="27" xfId="0" applyFill="1" applyBorder="1"/>
    <xf numFmtId="0" fontId="0" fillId="4" borderId="28" xfId="0" applyFill="1" applyBorder="1"/>
    <xf numFmtId="0" fontId="0" fillId="4" borderId="15" xfId="0" applyFill="1" applyBorder="1" applyAlignment="1" quotePrefix="1">
      <alignment horizontal="right"/>
    </xf>
    <xf numFmtId="0" fontId="0" fillId="4" borderId="29" xfId="0" applyFill="1" applyBorder="1"/>
    <xf numFmtId="0" fontId="0" fillId="4" borderId="30" xfId="0" applyFill="1" applyBorder="1"/>
    <xf numFmtId="0" fontId="0" fillId="4" borderId="19" xfId="0" applyFill="1" applyBorder="1" applyAlignment="1">
      <alignment horizontal="right"/>
    </xf>
    <xf numFmtId="165" fontId="0" fillId="5" borderId="14" xfId="0" applyNumberFormat="1" applyFill="1" applyBorder="1"/>
    <xf numFmtId="0" fontId="4" fillId="0" borderId="0" xfId="0" applyFont="1" applyFill="1"/>
    <xf numFmtId="0" fontId="2" fillId="0" borderId="0" xfId="0" applyFont="1" applyFill="1"/>
    <xf numFmtId="0" fontId="6" fillId="0" borderId="0" xfId="0" applyFont="1" applyFill="1"/>
    <xf numFmtId="165" fontId="7" fillId="7" borderId="14" xfId="0" applyNumberFormat="1" applyFont="1" applyFill="1" applyBorder="1"/>
    <xf numFmtId="0" fontId="7" fillId="7" borderId="14" xfId="0" applyFont="1" applyFill="1" applyBorder="1" applyAlignment="1">
      <alignment horizontal="center"/>
    </xf>
    <xf numFmtId="0" fontId="7" fillId="4" borderId="0" xfId="0" applyFont="1" applyFill="1"/>
    <xf numFmtId="165" fontId="7" fillId="8" borderId="14" xfId="0" applyNumberFormat="1" applyFont="1" applyFill="1" applyBorder="1"/>
    <xf numFmtId="0" fontId="7" fillId="8" borderId="14" xfId="0" applyFont="1" applyFill="1" applyBorder="1" applyAlignment="1">
      <alignment horizontal="center"/>
    </xf>
    <xf numFmtId="165" fontId="0" fillId="9" borderId="14" xfId="0" applyNumberFormat="1" applyFill="1" applyBorder="1"/>
    <xf numFmtId="0" fontId="0" fillId="9" borderId="14" xfId="0" applyFill="1" applyBorder="1" applyAlignment="1">
      <alignment horizontal="center"/>
    </xf>
    <xf numFmtId="0" fontId="0" fillId="0" borderId="0" xfId="0" applyFont="1"/>
    <xf numFmtId="0" fontId="0" fillId="4" borderId="31" xfId="0" applyFill="1" applyBorder="1"/>
    <xf numFmtId="0" fontId="0" fillId="4" borderId="32" xfId="0" applyFill="1" applyBorder="1"/>
    <xf numFmtId="0" fontId="0" fillId="4" borderId="33" xfId="0" applyFill="1" applyBorder="1"/>
    <xf numFmtId="0" fontId="0" fillId="4" borderId="34" xfId="0" applyFill="1" applyBorder="1"/>
    <xf numFmtId="9" fontId="0" fillId="5" borderId="14" xfId="0" applyNumberFormat="1" applyFill="1" applyBorder="1"/>
    <xf numFmtId="0" fontId="1" fillId="2" borderId="35" xfId="0" applyFont="1" applyFill="1" applyBorder="1" applyAlignment="1">
      <alignment horizontal="center"/>
    </xf>
    <xf numFmtId="165" fontId="0" fillId="4" borderId="0" xfId="0" applyNumberFormat="1" applyFill="1" applyBorder="1"/>
    <xf numFmtId="0" fontId="1" fillId="2" borderId="24" xfId="0" applyFont="1" applyFill="1" applyBorder="1" applyAlignment="1">
      <alignment horizontal="center" vertical="center"/>
    </xf>
    <xf numFmtId="0" fontId="1" fillId="2" borderId="27" xfId="0" applyFont="1" applyFill="1" applyBorder="1" applyAlignment="1">
      <alignment horizontal="center" vertical="center"/>
    </xf>
    <xf numFmtId="1" fontId="0" fillId="3" borderId="36" xfId="0" applyNumberFormat="1" applyFont="1" applyFill="1" applyBorder="1" applyAlignment="1">
      <alignment horizontal="center" vertical="center" wrapText="1"/>
    </xf>
    <xf numFmtId="1" fontId="0" fillId="3" borderId="37" xfId="0" applyNumberFormat="1" applyFont="1" applyFill="1" applyBorder="1" applyAlignment="1">
      <alignment horizontal="center" vertical="center" wrapText="1"/>
    </xf>
    <xf numFmtId="1" fontId="0" fillId="3" borderId="38" xfId="0" applyNumberFormat="1" applyFont="1" applyFill="1" applyBorder="1" applyAlignment="1">
      <alignment horizontal="center" vertical="center" wrapText="1"/>
    </xf>
    <xf numFmtId="0" fontId="0" fillId="3" borderId="39" xfId="0" applyFill="1" applyBorder="1" applyAlignment="1">
      <alignment horizontal="center" vertical="center"/>
    </xf>
    <xf numFmtId="0" fontId="1" fillId="2" borderId="40" xfId="0" applyFont="1" applyFill="1" applyBorder="1" applyAlignment="1">
      <alignment horizontal="center"/>
    </xf>
    <xf numFmtId="0" fontId="1" fillId="2" borderId="41" xfId="0" applyFont="1" applyFill="1" applyBorder="1" applyAlignment="1">
      <alignment horizontal="center"/>
    </xf>
    <xf numFmtId="0" fontId="1" fillId="2" borderId="42" xfId="0" applyFont="1" applyFill="1" applyBorder="1" applyAlignment="1">
      <alignment horizontal="center"/>
    </xf>
    <xf numFmtId="9" fontId="0" fillId="10" borderId="11" xfId="0" applyNumberFormat="1" applyFill="1" applyBorder="1" applyAlignment="1">
      <alignment horizontal="center"/>
    </xf>
    <xf numFmtId="0" fontId="4" fillId="4" borderId="0" xfId="0" applyFont="1" applyFill="1" applyBorder="1"/>
    <xf numFmtId="3" fontId="0" fillId="4" borderId="0" xfId="0" applyNumberFormat="1" applyFill="1" applyBorder="1" applyAlignment="1">
      <alignment/>
    </xf>
    <xf numFmtId="4" fontId="0" fillId="4" borderId="14" xfId="0" applyNumberFormat="1" applyFill="1" applyBorder="1" applyAlignment="1">
      <alignment/>
    </xf>
    <xf numFmtId="4" fontId="2" fillId="4" borderId="14" xfId="0" applyNumberFormat="1" applyFont="1" applyFill="1" applyBorder="1" applyAlignment="1">
      <alignment/>
    </xf>
    <xf numFmtId="165" fontId="0" fillId="4" borderId="14" xfId="0" applyNumberFormat="1" applyFill="1" applyBorder="1" applyAlignment="1">
      <alignment/>
    </xf>
    <xf numFmtId="3" fontId="0" fillId="4" borderId="0" xfId="0" applyNumberFormat="1" applyFill="1"/>
    <xf numFmtId="4" fontId="14" fillId="4" borderId="18" xfId="0" applyNumberFormat="1" applyFont="1" applyFill="1" applyBorder="1"/>
    <xf numFmtId="0" fontId="14" fillId="4" borderId="25" xfId="0" applyFont="1" applyFill="1" applyBorder="1"/>
    <xf numFmtId="0" fontId="0" fillId="4" borderId="43" xfId="0" applyFill="1" applyBorder="1"/>
    <xf numFmtId="0" fontId="0" fillId="4" borderId="24" xfId="0" applyFill="1" applyBorder="1" applyAlignment="1">
      <alignment vertical="center"/>
    </xf>
    <xf numFmtId="4" fontId="0" fillId="4" borderId="26" xfId="0" applyNumberFormat="1" applyFont="1" applyFill="1" applyBorder="1" applyAlignment="1">
      <alignment wrapText="1"/>
    </xf>
    <xf numFmtId="0" fontId="0" fillId="4" borderId="14" xfId="0" applyFill="1" applyBorder="1" applyAlignment="1">
      <alignment horizontal="center"/>
    </xf>
    <xf numFmtId="168" fontId="15" fillId="4" borderId="14" xfId="0" applyNumberFormat="1" applyFont="1" applyFill="1" applyBorder="1" applyAlignment="1">
      <alignment horizontal="center" vertical="center"/>
    </xf>
    <xf numFmtId="0" fontId="11" fillId="4" borderId="44" xfId="0" applyFont="1" applyFill="1" applyBorder="1"/>
    <xf numFmtId="0" fontId="2" fillId="0" borderId="45" xfId="0" applyFont="1" applyFill="1" applyBorder="1" applyAlignment="1">
      <alignment horizontal="left" vertical="center"/>
    </xf>
    <xf numFmtId="0" fontId="0" fillId="0" borderId="43" xfId="0" applyBorder="1"/>
    <xf numFmtId="0" fontId="0" fillId="0" borderId="46" xfId="0" applyBorder="1"/>
    <xf numFmtId="0" fontId="2" fillId="4" borderId="47" xfId="0" applyFont="1" applyFill="1" applyBorder="1" applyAlignment="1">
      <alignment vertical="center"/>
    </xf>
    <xf numFmtId="4" fontId="14" fillId="4" borderId="24" xfId="0" applyNumberFormat="1" applyFont="1" applyFill="1" applyBorder="1"/>
    <xf numFmtId="2" fontId="11" fillId="4" borderId="48" xfId="0" applyNumberFormat="1" applyFont="1" applyFill="1" applyBorder="1"/>
    <xf numFmtId="0" fontId="0" fillId="4" borderId="49" xfId="0" applyFill="1" applyBorder="1" applyAlignment="1">
      <alignment horizontal="center" wrapText="1"/>
    </xf>
    <xf numFmtId="0" fontId="0" fillId="4" borderId="0" xfId="0" applyFill="1" applyBorder="1" applyAlignment="1">
      <alignment horizontal="center" wrapText="1"/>
    </xf>
    <xf numFmtId="4" fontId="0" fillId="4" borderId="0" xfId="0" applyNumberFormat="1" applyFill="1" applyBorder="1" applyAlignment="1">
      <alignment horizontal="right" indent="2"/>
    </xf>
    <xf numFmtId="4" fontId="2" fillId="4" borderId="0" xfId="0" applyNumberFormat="1" applyFont="1" applyFill="1" applyBorder="1" applyAlignment="1">
      <alignment horizontal="right" indent="2"/>
    </xf>
    <xf numFmtId="0" fontId="0" fillId="0" borderId="0" xfId="0" applyFill="1" applyBorder="1"/>
    <xf numFmtId="0" fontId="2" fillId="4" borderId="50" xfId="0" applyFont="1" applyFill="1" applyBorder="1" applyAlignment="1">
      <alignment horizontal="center" wrapText="1"/>
    </xf>
    <xf numFmtId="0" fontId="2" fillId="4" borderId="51" xfId="0" applyFont="1" applyFill="1" applyBorder="1" applyAlignment="1">
      <alignment horizontal="center" wrapText="1"/>
    </xf>
    <xf numFmtId="0" fontId="2" fillId="4" borderId="0" xfId="0" applyFont="1" applyFill="1" applyBorder="1" applyAlignment="1">
      <alignment horizontal="center" wrapText="1"/>
    </xf>
    <xf numFmtId="3" fontId="0" fillId="11" borderId="52" xfId="0" applyNumberFormat="1" applyFill="1" applyBorder="1" applyAlignment="1">
      <alignment horizontal="right" indent="2"/>
    </xf>
    <xf numFmtId="0" fontId="16" fillId="4" borderId="0" xfId="0" applyFont="1" applyFill="1" applyBorder="1" applyAlignment="1">
      <alignment horizontal="right"/>
    </xf>
    <xf numFmtId="0" fontId="0" fillId="12" borderId="0" xfId="0" applyFill="1" applyBorder="1"/>
    <xf numFmtId="0" fontId="0" fillId="12" borderId="0" xfId="0" applyFill="1"/>
    <xf numFmtId="0" fontId="2" fillId="12" borderId="0" xfId="0" applyFont="1" applyFill="1"/>
    <xf numFmtId="0" fontId="2" fillId="12" borderId="0" xfId="0" applyFont="1" applyFill="1" applyBorder="1" applyAlignment="1">
      <alignment horizontal="center" wrapText="1"/>
    </xf>
    <xf numFmtId="0" fontId="2" fillId="12" borderId="53" xfId="0" applyFont="1" applyFill="1" applyBorder="1" applyAlignment="1">
      <alignment horizontal="center" wrapText="1"/>
    </xf>
    <xf numFmtId="0" fontId="2" fillId="12" borderId="7" xfId="0" applyFont="1" applyFill="1" applyBorder="1" applyAlignment="1">
      <alignment horizontal="center" wrapText="1"/>
    </xf>
    <xf numFmtId="0" fontId="2" fillId="12" borderId="8" xfId="0" applyFont="1" applyFill="1" applyBorder="1" applyAlignment="1">
      <alignment horizontal="center" wrapText="1"/>
    </xf>
    <xf numFmtId="0" fontId="2" fillId="12" borderId="51" xfId="0" applyFont="1" applyFill="1" applyBorder="1" applyAlignment="1">
      <alignment horizontal="center" wrapText="1"/>
    </xf>
    <xf numFmtId="0" fontId="0" fillId="12" borderId="0" xfId="0" applyFill="1" applyAlignment="1">
      <alignment wrapText="1"/>
    </xf>
    <xf numFmtId="0" fontId="0" fillId="12" borderId="0" xfId="0" applyFill="1" applyBorder="1" applyAlignment="1">
      <alignment horizontal="center" wrapText="1"/>
    </xf>
    <xf numFmtId="0" fontId="0" fillId="12" borderId="54" xfId="0" applyFill="1" applyBorder="1" applyAlignment="1">
      <alignment horizontal="center" wrapText="1"/>
    </xf>
    <xf numFmtId="0" fontId="0" fillId="12" borderId="22" xfId="0" applyFill="1" applyBorder="1" applyAlignment="1">
      <alignment horizontal="center" wrapText="1"/>
    </xf>
    <xf numFmtId="0" fontId="0" fillId="12" borderId="20" xfId="0" applyFill="1" applyBorder="1" applyAlignment="1">
      <alignment horizontal="center" wrapText="1"/>
    </xf>
    <xf numFmtId="0" fontId="0" fillId="12" borderId="23" xfId="0" applyFill="1" applyBorder="1" applyAlignment="1">
      <alignment horizontal="center" wrapText="1"/>
    </xf>
    <xf numFmtId="0" fontId="0" fillId="12" borderId="0" xfId="0" applyFill="1" applyAlignment="1">
      <alignment horizontal="center" wrapText="1"/>
    </xf>
    <xf numFmtId="4" fontId="0" fillId="12" borderId="0" xfId="0" applyNumberFormat="1" applyFill="1" applyBorder="1" applyAlignment="1">
      <alignment horizontal="right" indent="2"/>
    </xf>
    <xf numFmtId="3" fontId="0" fillId="12" borderId="55" xfId="0" applyNumberFormat="1" applyFill="1" applyBorder="1" applyAlignment="1">
      <alignment horizontal="right" indent="2"/>
    </xf>
    <xf numFmtId="3" fontId="0" fillId="12" borderId="15" xfId="0" applyNumberFormat="1" applyFill="1" applyBorder="1" applyAlignment="1">
      <alignment horizontal="right" indent="2"/>
    </xf>
    <xf numFmtId="3" fontId="0" fillId="12" borderId="11" xfId="0" applyNumberFormat="1" applyFill="1" applyBorder="1" applyAlignment="1">
      <alignment horizontal="right" indent="2"/>
    </xf>
    <xf numFmtId="3" fontId="0" fillId="12" borderId="56" xfId="0" applyNumberFormat="1" applyFill="1" applyBorder="1" applyAlignment="1">
      <alignment horizontal="right" indent="2"/>
    </xf>
    <xf numFmtId="3" fontId="0" fillId="12" borderId="52" xfId="0" applyNumberFormat="1" applyFill="1" applyBorder="1" applyAlignment="1">
      <alignment horizontal="right" indent="2"/>
    </xf>
    <xf numFmtId="3" fontId="0" fillId="12" borderId="5" xfId="0" applyNumberFormat="1" applyFill="1" applyBorder="1" applyAlignment="1">
      <alignment horizontal="right" indent="2"/>
    </xf>
    <xf numFmtId="3" fontId="0" fillId="12" borderId="14" xfId="0" applyNumberFormat="1" applyFill="1" applyBorder="1" applyAlignment="1">
      <alignment horizontal="right" indent="2"/>
    </xf>
    <xf numFmtId="3" fontId="0" fillId="12" borderId="57" xfId="0" applyNumberFormat="1" applyFill="1" applyBorder="1" applyAlignment="1">
      <alignment horizontal="right" indent="2"/>
    </xf>
    <xf numFmtId="4" fontId="2" fillId="12" borderId="0" xfId="0" applyNumberFormat="1" applyFont="1" applyFill="1" applyBorder="1" applyAlignment="1">
      <alignment horizontal="right" indent="2"/>
    </xf>
    <xf numFmtId="3" fontId="2" fillId="12" borderId="58" xfId="0" applyNumberFormat="1" applyFont="1" applyFill="1" applyBorder="1" applyAlignment="1">
      <alignment horizontal="right" indent="2"/>
    </xf>
    <xf numFmtId="3" fontId="2" fillId="12" borderId="6" xfId="0" applyNumberFormat="1" applyFont="1" applyFill="1" applyBorder="1" applyAlignment="1">
      <alignment horizontal="right" indent="2"/>
    </xf>
    <xf numFmtId="3" fontId="2" fillId="12" borderId="21" xfId="0" applyNumberFormat="1" applyFont="1" applyFill="1" applyBorder="1" applyAlignment="1">
      <alignment horizontal="right" indent="2"/>
    </xf>
    <xf numFmtId="3" fontId="2" fillId="12" borderId="59" xfId="0" applyNumberFormat="1" applyFont="1" applyFill="1" applyBorder="1" applyAlignment="1">
      <alignment horizontal="right" indent="2"/>
    </xf>
    <xf numFmtId="0" fontId="16" fillId="12" borderId="0" xfId="0" applyFont="1" applyFill="1" applyBorder="1" applyAlignment="1">
      <alignment horizontal="right"/>
    </xf>
    <xf numFmtId="3" fontId="16" fillId="12" borderId="60" xfId="0" applyNumberFormat="1" applyFont="1" applyFill="1" applyBorder="1" applyAlignment="1">
      <alignment horizontal="center"/>
    </xf>
    <xf numFmtId="3" fontId="16" fillId="12" borderId="0" xfId="0" applyNumberFormat="1" applyFont="1" applyFill="1" applyBorder="1" applyAlignment="1">
      <alignment horizontal="center"/>
    </xf>
    <xf numFmtId="0" fontId="16" fillId="12" borderId="0" xfId="0" applyFont="1" applyFill="1" applyBorder="1" applyAlignment="1">
      <alignment horizontal="left"/>
    </xf>
    <xf numFmtId="3" fontId="0" fillId="11" borderId="15" xfId="0" applyNumberFormat="1" applyFill="1" applyBorder="1" applyAlignment="1">
      <alignment horizontal="right" indent="2"/>
    </xf>
    <xf numFmtId="3" fontId="0" fillId="11" borderId="11" xfId="0" applyNumberFormat="1" applyFill="1" applyBorder="1" applyAlignment="1">
      <alignment horizontal="right" indent="2"/>
    </xf>
    <xf numFmtId="3" fontId="0" fillId="11" borderId="56" xfId="0" applyNumberFormat="1" applyFill="1" applyBorder="1" applyAlignment="1">
      <alignment horizontal="right" indent="2"/>
    </xf>
    <xf numFmtId="0" fontId="0" fillId="4" borderId="14" xfId="0" applyFill="1" applyBorder="1" applyAlignment="1">
      <alignment horizontal="left" indent="2"/>
    </xf>
    <xf numFmtId="0" fontId="0" fillId="4" borderId="24" xfId="0" applyFill="1" applyBorder="1" applyAlignment="1">
      <alignment horizontal="centerContinuous"/>
    </xf>
    <xf numFmtId="0" fontId="0" fillId="4" borderId="18" xfId="0" applyFill="1" applyBorder="1" applyAlignment="1">
      <alignment horizontal="centerContinuous"/>
    </xf>
    <xf numFmtId="0" fontId="0" fillId="4" borderId="25" xfId="0" applyFill="1" applyBorder="1" applyAlignment="1">
      <alignment horizontal="centerContinuous"/>
    </xf>
    <xf numFmtId="0" fontId="0" fillId="4" borderId="26" xfId="0" applyFont="1" applyFill="1" applyBorder="1" applyAlignment="1">
      <alignment wrapText="1"/>
    </xf>
    <xf numFmtId="0" fontId="2" fillId="4" borderId="0" xfId="0" applyFont="1" applyFill="1" applyBorder="1" applyAlignment="1">
      <alignment horizontal="left"/>
    </xf>
    <xf numFmtId="4" fontId="0" fillId="4" borderId="0" xfId="0" applyNumberFormat="1" applyFill="1" applyBorder="1"/>
    <xf numFmtId="4" fontId="2" fillId="4" borderId="0" xfId="0" applyNumberFormat="1" applyFont="1" applyFill="1" applyBorder="1" applyAlignment="1">
      <alignment/>
    </xf>
    <xf numFmtId="0" fontId="2" fillId="4" borderId="14" xfId="0" applyFont="1" applyFill="1" applyBorder="1" applyAlignment="1">
      <alignment horizontal="left"/>
    </xf>
    <xf numFmtId="4" fontId="2" fillId="4" borderId="31" xfId="0" applyNumberFormat="1" applyFont="1" applyFill="1" applyBorder="1" applyAlignment="1">
      <alignment/>
    </xf>
    <xf numFmtId="4" fontId="0" fillId="4" borderId="14" xfId="0" applyNumberFormat="1" applyFill="1" applyBorder="1" applyAlignment="1">
      <alignment horizontal="right" indent="2"/>
    </xf>
    <xf numFmtId="4" fontId="0" fillId="4" borderId="18" xfId="0" applyNumberFormat="1" applyFill="1" applyBorder="1"/>
    <xf numFmtId="0" fontId="0" fillId="4" borderId="61" xfId="0" applyFill="1" applyBorder="1"/>
    <xf numFmtId="0" fontId="0" fillId="4" borderId="30" xfId="0" applyFont="1" applyFill="1" applyBorder="1" applyAlignment="1">
      <alignment wrapText="1"/>
    </xf>
    <xf numFmtId="4" fontId="2" fillId="4" borderId="61" xfId="0" applyNumberFormat="1" applyFont="1" applyFill="1" applyBorder="1" applyAlignment="1">
      <alignment/>
    </xf>
    <xf numFmtId="4" fontId="2" fillId="4" borderId="32" xfId="0" applyNumberFormat="1" applyFont="1" applyFill="1" applyBorder="1" applyAlignment="1">
      <alignment/>
    </xf>
    <xf numFmtId="4" fontId="2" fillId="4" borderId="33" xfId="0" applyNumberFormat="1" applyFont="1" applyFill="1" applyBorder="1" applyAlignment="1">
      <alignment/>
    </xf>
    <xf numFmtId="4" fontId="2" fillId="4" borderId="34" xfId="0" applyNumberFormat="1" applyFont="1" applyFill="1" applyBorder="1" applyAlignment="1">
      <alignment/>
    </xf>
    <xf numFmtId="4" fontId="0" fillId="4" borderId="29" xfId="0" applyNumberFormat="1" applyFill="1" applyBorder="1"/>
    <xf numFmtId="4" fontId="0" fillId="4" borderId="30" xfId="0" applyNumberFormat="1" applyFont="1" applyFill="1" applyBorder="1" applyAlignment="1">
      <alignment wrapText="1"/>
    </xf>
    <xf numFmtId="3" fontId="0" fillId="11" borderId="55" xfId="0" applyNumberFormat="1" applyFill="1" applyBorder="1" applyAlignment="1">
      <alignment horizontal="right" indent="2"/>
    </xf>
    <xf numFmtId="3" fontId="0" fillId="4" borderId="62" xfId="0" applyNumberFormat="1" applyFill="1" applyBorder="1" applyAlignment="1" quotePrefix="1">
      <alignment horizontal="left" indent="2"/>
    </xf>
    <xf numFmtId="3" fontId="0" fillId="4" borderId="18" xfId="0" applyNumberFormat="1" applyFill="1" applyBorder="1" applyAlignment="1">
      <alignment horizontal="left" indent="2"/>
    </xf>
    <xf numFmtId="3" fontId="0" fillId="4" borderId="0" xfId="0" applyNumberFormat="1" applyFill="1" applyBorder="1" applyAlignment="1">
      <alignment horizontal="left" indent="2"/>
    </xf>
    <xf numFmtId="3" fontId="0" fillId="4" borderId="26" xfId="0" applyNumberFormat="1" applyFill="1" applyBorder="1" applyAlignment="1">
      <alignment horizontal="left" indent="2"/>
    </xf>
    <xf numFmtId="3" fontId="2" fillId="4" borderId="19" xfId="0" applyNumberFormat="1" applyFont="1" applyFill="1" applyBorder="1"/>
    <xf numFmtId="3" fontId="0" fillId="4" borderId="63" xfId="0" applyNumberFormat="1" applyFill="1" applyBorder="1" applyAlignment="1">
      <alignment horizontal="left" indent="2"/>
    </xf>
    <xf numFmtId="4" fontId="0" fillId="4" borderId="11" xfId="0" applyNumberFormat="1" applyFill="1" applyBorder="1" applyAlignment="1">
      <alignment horizontal="right" indent="2"/>
    </xf>
    <xf numFmtId="3" fontId="2" fillId="4" borderId="64" xfId="0" applyNumberFormat="1" applyFont="1" applyFill="1" applyBorder="1" applyAlignment="1">
      <alignment horizontal="center"/>
    </xf>
    <xf numFmtId="3" fontId="2" fillId="4" borderId="65" xfId="0" applyNumberFormat="1" applyFont="1" applyFill="1" applyBorder="1" applyAlignment="1">
      <alignment horizontal="center"/>
    </xf>
    <xf numFmtId="3" fontId="17" fillId="4" borderId="66" xfId="0" applyNumberFormat="1" applyFont="1" applyFill="1" applyBorder="1" applyAlignment="1">
      <alignment horizontal="left" indent="2"/>
    </xf>
    <xf numFmtId="3" fontId="2" fillId="4" borderId="66" xfId="0" applyNumberFormat="1" applyFont="1" applyFill="1" applyBorder="1" applyAlignment="1">
      <alignment horizontal="left" indent="2"/>
    </xf>
    <xf numFmtId="3" fontId="2" fillId="4" borderId="67" xfId="0" applyNumberFormat="1" applyFont="1" applyFill="1" applyBorder="1" applyAlignment="1">
      <alignment horizontal="left" indent="2"/>
    </xf>
    <xf numFmtId="3" fontId="17" fillId="4" borderId="68" xfId="0" applyNumberFormat="1" applyFont="1" applyFill="1" applyBorder="1" applyAlignment="1">
      <alignment horizontal="left" indent="2"/>
    </xf>
    <xf numFmtId="0" fontId="0" fillId="4" borderId="14" xfId="0" applyFont="1" applyFill="1" applyBorder="1"/>
    <xf numFmtId="0" fontId="0" fillId="4" borderId="18" xfId="0" applyFont="1" applyFill="1" applyBorder="1"/>
    <xf numFmtId="0" fontId="0" fillId="4" borderId="18" xfId="0" applyFont="1" applyFill="1" applyBorder="1" applyAlignment="1">
      <alignment horizontal="center"/>
    </xf>
    <xf numFmtId="0" fontId="0" fillId="4" borderId="0" xfId="0" applyFill="1" applyAlignment="1">
      <alignment horizontal="center"/>
    </xf>
    <xf numFmtId="0" fontId="0" fillId="13" borderId="69" xfId="0" applyFill="1" applyBorder="1"/>
    <xf numFmtId="0" fontId="0" fillId="13" borderId="70" xfId="0" applyFill="1" applyBorder="1"/>
    <xf numFmtId="0" fontId="0" fillId="13" borderId="71" xfId="0" applyFill="1" applyBorder="1" applyAlignment="1">
      <alignment horizontal="center"/>
    </xf>
    <xf numFmtId="0" fontId="0" fillId="4" borderId="0" xfId="0" applyFont="1" applyFill="1"/>
    <xf numFmtId="0" fontId="0" fillId="4" borderId="0" xfId="0" applyFill="1" applyAlignment="1">
      <alignment vertical="center"/>
    </xf>
    <xf numFmtId="0" fontId="0" fillId="0" borderId="0" xfId="0" applyFill="1" applyAlignment="1">
      <alignment vertical="center"/>
    </xf>
    <xf numFmtId="0" fontId="2" fillId="5" borderId="0" xfId="0" applyFont="1" applyFill="1"/>
    <xf numFmtId="0" fontId="2" fillId="14" borderId="0" xfId="0" applyFont="1" applyFill="1"/>
    <xf numFmtId="0" fontId="0" fillId="4" borderId="0" xfId="0" applyFill="1" quotePrefix="1"/>
    <xf numFmtId="0" fontId="5" fillId="4" borderId="0" xfId="0" applyFont="1" applyFill="1" applyAlignment="1">
      <alignment horizontal="right"/>
    </xf>
    <xf numFmtId="3" fontId="5" fillId="4" borderId="0" xfId="0" applyNumberFormat="1" applyFont="1" applyFill="1"/>
    <xf numFmtId="0" fontId="2" fillId="3" borderId="8" xfId="0" applyFont="1" applyFill="1" applyBorder="1" applyAlignment="1">
      <alignment horizontal="center" wrapText="1"/>
    </xf>
    <xf numFmtId="0" fontId="0" fillId="4" borderId="0" xfId="0" applyFill="1" applyAlignment="1">
      <alignment horizontal="center"/>
    </xf>
    <xf numFmtId="0" fontId="2" fillId="4" borderId="14" xfId="0" applyFont="1" applyFill="1" applyBorder="1" applyAlignment="1">
      <alignment horizontal="left" indent="2"/>
    </xf>
    <xf numFmtId="0" fontId="2" fillId="4" borderId="14" xfId="0" applyFont="1" applyFill="1" applyBorder="1"/>
    <xf numFmtId="9" fontId="18" fillId="4" borderId="11" xfId="0" applyNumberFormat="1" applyFont="1" applyFill="1" applyBorder="1" applyAlignment="1">
      <alignment horizontal="center"/>
    </xf>
    <xf numFmtId="9" fontId="18" fillId="4" borderId="14" xfId="0" applyNumberFormat="1" applyFont="1" applyFill="1" applyBorder="1" applyAlignment="1">
      <alignment horizontal="center"/>
    </xf>
    <xf numFmtId="165" fontId="0" fillId="10" borderId="56" xfId="0" applyNumberFormat="1" applyFill="1" applyBorder="1" applyAlignment="1">
      <alignment horizontal="right" indent="2"/>
    </xf>
    <xf numFmtId="165" fontId="2" fillId="4" borderId="59" xfId="0" applyNumberFormat="1" applyFont="1" applyFill="1" applyBorder="1" applyAlignment="1">
      <alignment horizontal="right" indent="2"/>
    </xf>
    <xf numFmtId="165" fontId="0" fillId="4" borderId="56" xfId="0" applyNumberFormat="1" applyFill="1" applyBorder="1" applyAlignment="1">
      <alignment horizontal="right" indent="2"/>
    </xf>
    <xf numFmtId="165" fontId="0" fillId="10" borderId="57" xfId="0" applyNumberFormat="1" applyFill="1" applyBorder="1" applyAlignment="1">
      <alignment horizontal="right" indent="2"/>
    </xf>
    <xf numFmtId="165" fontId="0" fillId="4" borderId="57" xfId="0" applyNumberFormat="1" applyFill="1" applyBorder="1" applyAlignment="1">
      <alignment horizontal="right" indent="2"/>
    </xf>
    <xf numFmtId="0" fontId="5" fillId="4" borderId="0" xfId="0" applyFont="1" applyFill="1" applyAlignment="1">
      <alignment vertical="center"/>
    </xf>
    <xf numFmtId="169" fontId="0" fillId="4" borderId="72" xfId="0" applyNumberFormat="1" applyFill="1" applyBorder="1" applyAlignment="1">
      <alignment horizontal="right" vertical="center"/>
    </xf>
    <xf numFmtId="169" fontId="0" fillId="4" borderId="73" xfId="0" applyNumberFormat="1" applyFill="1" applyBorder="1" applyAlignment="1">
      <alignment horizontal="right" vertical="center"/>
    </xf>
    <xf numFmtId="169" fontId="0" fillId="4" borderId="74" xfId="0" applyNumberFormat="1" applyFill="1" applyBorder="1" applyAlignment="1">
      <alignment horizontal="right" vertical="center"/>
    </xf>
    <xf numFmtId="169" fontId="0" fillId="4" borderId="75" xfId="0" applyNumberFormat="1" applyFill="1" applyBorder="1" applyAlignment="1">
      <alignment horizontal="right" vertical="center"/>
    </xf>
    <xf numFmtId="169" fontId="0" fillId="4" borderId="76" xfId="0" applyNumberFormat="1" applyFill="1" applyBorder="1" applyAlignment="1">
      <alignment horizontal="right" vertical="center"/>
    </xf>
    <xf numFmtId="169" fontId="0" fillId="4" borderId="77" xfId="0" applyNumberFormat="1" applyFill="1" applyBorder="1" applyAlignment="1">
      <alignment horizontal="right" vertical="center"/>
    </xf>
    <xf numFmtId="169" fontId="0" fillId="4" borderId="78" xfId="0" applyNumberFormat="1" applyFill="1" applyBorder="1" applyAlignment="1">
      <alignment horizontal="right" vertical="center"/>
    </xf>
    <xf numFmtId="169" fontId="0" fillId="4" borderId="79" xfId="0" applyNumberFormat="1" applyFill="1" applyBorder="1" applyAlignment="1">
      <alignment horizontal="right" vertical="center"/>
    </xf>
    <xf numFmtId="169" fontId="0" fillId="4" borderId="80" xfId="0" applyNumberFormat="1" applyFill="1" applyBorder="1" applyAlignment="1">
      <alignment horizontal="right" vertical="center"/>
    </xf>
    <xf numFmtId="169" fontId="0" fillId="4" borderId="81" xfId="0" applyNumberFormat="1" applyFill="1" applyBorder="1" applyAlignment="1">
      <alignment horizontal="right" vertical="center"/>
    </xf>
    <xf numFmtId="0" fontId="20" fillId="4" borderId="47" xfId="22" applyFont="1" applyFill="1" applyBorder="1" applyAlignment="1">
      <alignment horizontal="left" vertical="center"/>
      <protection/>
    </xf>
    <xf numFmtId="0" fontId="21" fillId="4" borderId="43" xfId="22" applyFont="1" applyFill="1" applyBorder="1" applyAlignment="1">
      <alignment horizontal="left"/>
      <protection/>
    </xf>
    <xf numFmtId="0" fontId="21" fillId="4" borderId="44" xfId="22" applyFont="1" applyFill="1" applyBorder="1" applyAlignment="1">
      <alignment horizontal="left"/>
      <protection/>
    </xf>
    <xf numFmtId="0" fontId="22" fillId="4" borderId="82" xfId="22" applyFont="1" applyFill="1" applyBorder="1" applyAlignment="1">
      <alignment horizontal="left"/>
      <protection/>
    </xf>
    <xf numFmtId="0" fontId="23" fillId="4" borderId="83" xfId="22" applyFont="1" applyFill="1" applyBorder="1" applyAlignment="1">
      <alignment horizontal="left"/>
      <protection/>
    </xf>
    <xf numFmtId="0" fontId="21" fillId="4" borderId="83" xfId="22" applyFont="1" applyFill="1" applyBorder="1" applyAlignment="1">
      <alignment horizontal="left"/>
      <protection/>
    </xf>
    <xf numFmtId="0" fontId="21" fillId="4" borderId="84" xfId="22" applyFont="1" applyFill="1" applyBorder="1" applyAlignment="1">
      <alignment horizontal="left"/>
      <protection/>
    </xf>
    <xf numFmtId="0" fontId="22" fillId="4" borderId="85" xfId="22" applyFont="1" applyFill="1" applyBorder="1" applyAlignment="1">
      <alignment horizontal="left"/>
      <protection/>
    </xf>
    <xf numFmtId="0" fontId="22" fillId="4" borderId="29" xfId="22" applyFont="1" applyFill="1" applyBorder="1" applyAlignment="1">
      <alignment horizontal="left"/>
      <protection/>
    </xf>
    <xf numFmtId="0" fontId="21" fillId="4" borderId="26" xfId="22" applyFont="1" applyFill="1" applyBorder="1" applyAlignment="1">
      <alignment horizontal="left"/>
      <protection/>
    </xf>
    <xf numFmtId="0" fontId="22" fillId="4" borderId="30" xfId="22" applyFont="1" applyFill="1" applyBorder="1" applyAlignment="1">
      <alignment horizontal="left"/>
      <protection/>
    </xf>
    <xf numFmtId="0" fontId="22" fillId="4" borderId="0" xfId="22" applyFont="1" applyFill="1" applyBorder="1" applyAlignment="1">
      <alignment horizontal="left"/>
      <protection/>
    </xf>
    <xf numFmtId="0" fontId="21" fillId="4" borderId="66" xfId="22" applyFont="1" applyFill="1" applyBorder="1" applyAlignment="1">
      <alignment horizontal="left"/>
      <protection/>
    </xf>
    <xf numFmtId="0" fontId="22" fillId="4" borderId="86" xfId="22" applyFont="1" applyFill="1" applyBorder="1" applyAlignment="1">
      <alignment horizontal="left"/>
      <protection/>
    </xf>
    <xf numFmtId="0" fontId="22" fillId="4" borderId="18" xfId="22" applyFont="1" applyFill="1" applyBorder="1" applyAlignment="1">
      <alignment horizontal="left"/>
      <protection/>
    </xf>
    <xf numFmtId="0" fontId="22" fillId="4" borderId="24" xfId="22" applyFont="1" applyFill="1" applyBorder="1" applyAlignment="1">
      <alignment horizontal="left"/>
      <protection/>
    </xf>
    <xf numFmtId="49" fontId="21" fillId="4" borderId="65" xfId="22" applyNumberFormat="1" applyFont="1" applyFill="1" applyBorder="1" applyAlignment="1">
      <alignment horizontal="left"/>
      <protection/>
    </xf>
    <xf numFmtId="0" fontId="22" fillId="4" borderId="85" xfId="22" applyFont="1" applyFill="1" applyBorder="1" applyAlignment="1">
      <alignment horizontal="left" vertical="top"/>
      <protection/>
    </xf>
    <xf numFmtId="0" fontId="22" fillId="4" borderId="87" xfId="22" applyFont="1" applyFill="1" applyBorder="1" applyAlignment="1">
      <alignment horizontal="left"/>
      <protection/>
    </xf>
    <xf numFmtId="0" fontId="22" fillId="4" borderId="31" xfId="22" applyFont="1" applyFill="1" applyBorder="1" applyAlignment="1">
      <alignment horizontal="left"/>
      <protection/>
    </xf>
    <xf numFmtId="0" fontId="22" fillId="4" borderId="61" xfId="22" applyFont="1" applyFill="1" applyBorder="1" applyAlignment="1">
      <alignment horizontal="left"/>
      <protection/>
    </xf>
    <xf numFmtId="0" fontId="22" fillId="4" borderId="32" xfId="22" applyFont="1" applyFill="1" applyBorder="1" applyAlignment="1">
      <alignment horizontal="left"/>
      <protection/>
    </xf>
    <xf numFmtId="0" fontId="22" fillId="4" borderId="88" xfId="22" applyFont="1" applyFill="1" applyBorder="1" applyAlignment="1">
      <alignment horizontal="left"/>
      <protection/>
    </xf>
    <xf numFmtId="0" fontId="21" fillId="4" borderId="85" xfId="22" applyFont="1" applyFill="1" applyBorder="1" applyAlignment="1">
      <alignment horizontal="left"/>
      <protection/>
    </xf>
    <xf numFmtId="0" fontId="21" fillId="4" borderId="0" xfId="22" applyFont="1" applyFill="1" applyBorder="1" applyAlignment="1">
      <alignment horizontal="left"/>
      <protection/>
    </xf>
    <xf numFmtId="14" fontId="21" fillId="4" borderId="34" xfId="22" applyNumberFormat="1" applyFont="1" applyFill="1" applyBorder="1" applyAlignment="1">
      <alignment horizontal="left"/>
      <protection/>
    </xf>
    <xf numFmtId="0" fontId="21" fillId="4" borderId="89" xfId="22" applyFont="1" applyFill="1" applyBorder="1" applyAlignment="1">
      <alignment horizontal="left"/>
      <protection/>
    </xf>
    <xf numFmtId="14" fontId="21" fillId="4" borderId="63" xfId="22" applyNumberFormat="1" applyFont="1" applyFill="1" applyBorder="1" applyAlignment="1">
      <alignment horizontal="left"/>
      <protection/>
    </xf>
    <xf numFmtId="14" fontId="21" fillId="4" borderId="90" xfId="22" applyNumberFormat="1" applyFont="1" applyFill="1" applyBorder="1" applyAlignment="1">
      <alignment horizontal="left"/>
      <protection/>
    </xf>
    <xf numFmtId="14" fontId="21" fillId="4" borderId="68" xfId="22" applyNumberFormat="1" applyFont="1" applyFill="1" applyBorder="1" applyAlignment="1">
      <alignment horizontal="left"/>
      <protection/>
    </xf>
    <xf numFmtId="0" fontId="21" fillId="4" borderId="31" xfId="22" applyFont="1" applyFill="1" applyBorder="1" applyAlignment="1">
      <alignment horizontal="left"/>
      <protection/>
    </xf>
    <xf numFmtId="0" fontId="21" fillId="4" borderId="34" xfId="22" applyFont="1" applyFill="1" applyBorder="1" applyAlignment="1">
      <alignment horizontal="left"/>
      <protection/>
    </xf>
    <xf numFmtId="0" fontId="21" fillId="4" borderId="33" xfId="22" applyFont="1" applyFill="1" applyBorder="1" applyAlignment="1">
      <alignment horizontal="left"/>
      <protection/>
    </xf>
    <xf numFmtId="0" fontId="22" fillId="4" borderId="66" xfId="22" applyFont="1" applyFill="1" applyBorder="1" applyAlignment="1">
      <alignment horizontal="left"/>
      <protection/>
    </xf>
    <xf numFmtId="0" fontId="21" fillId="4" borderId="90" xfId="22" applyFont="1" applyFill="1" applyBorder="1" applyAlignment="1">
      <alignment horizontal="left"/>
      <protection/>
    </xf>
    <xf numFmtId="0" fontId="21" fillId="4" borderId="91" xfId="22" applyFont="1" applyFill="1" applyBorder="1" applyAlignment="1">
      <alignment horizontal="left"/>
      <protection/>
    </xf>
    <xf numFmtId="0" fontId="21" fillId="4" borderId="63" xfId="22" applyFont="1" applyFill="1" applyBorder="1" applyAlignment="1">
      <alignment horizontal="left"/>
      <protection/>
    </xf>
    <xf numFmtId="0" fontId="22" fillId="4" borderId="63" xfId="22" applyFont="1" applyFill="1" applyBorder="1" applyAlignment="1">
      <alignment horizontal="left"/>
      <protection/>
    </xf>
    <xf numFmtId="0" fontId="22" fillId="4" borderId="68" xfId="22" applyFont="1" applyFill="1" applyBorder="1" applyAlignment="1">
      <alignment horizontal="left"/>
      <protection/>
    </xf>
    <xf numFmtId="0" fontId="22" fillId="4" borderId="85" xfId="22" applyFont="1" applyFill="1" applyBorder="1" applyAlignment="1">
      <alignment wrapText="1"/>
      <protection/>
    </xf>
    <xf numFmtId="0" fontId="22" fillId="4" borderId="0" xfId="22" applyFont="1" applyFill="1" applyBorder="1" applyAlignment="1">
      <alignment wrapText="1"/>
      <protection/>
    </xf>
    <xf numFmtId="0" fontId="22" fillId="4" borderId="66" xfId="22" applyFont="1" applyFill="1" applyBorder="1" applyAlignment="1">
      <alignment wrapText="1"/>
      <protection/>
    </xf>
    <xf numFmtId="14" fontId="21" fillId="4" borderId="85" xfId="22" applyNumberFormat="1" applyFont="1" applyFill="1" applyBorder="1" applyAlignment="1">
      <alignment horizontal="left" wrapText="1"/>
      <protection/>
    </xf>
    <xf numFmtId="14" fontId="21" fillId="4" borderId="66" xfId="22" applyNumberFormat="1" applyFont="1" applyFill="1" applyBorder="1" applyAlignment="1">
      <alignment wrapText="1"/>
      <protection/>
    </xf>
    <xf numFmtId="0" fontId="22" fillId="4" borderId="92" xfId="22" applyFont="1" applyFill="1" applyBorder="1" applyAlignment="1">
      <alignment wrapText="1"/>
      <protection/>
    </xf>
    <xf numFmtId="0" fontId="23" fillId="4" borderId="85" xfId="22" applyFont="1" applyFill="1" applyBorder="1" applyAlignment="1">
      <alignment horizontal="left" vertical="top" wrapText="1"/>
      <protection/>
    </xf>
    <xf numFmtId="14" fontId="21" fillId="4" borderId="66" xfId="22" applyNumberFormat="1" applyFont="1" applyFill="1" applyBorder="1" applyAlignment="1">
      <alignment horizontal="left" vertical="top" wrapText="1"/>
      <protection/>
    </xf>
    <xf numFmtId="0" fontId="0" fillId="0" borderId="0" xfId="0" applyAlignment="1">
      <alignment horizontal="left"/>
    </xf>
    <xf numFmtId="0" fontId="22" fillId="4" borderId="85" xfId="22" applyFont="1" applyFill="1" applyBorder="1" applyAlignment="1">
      <alignment horizontal="left" wrapText="1"/>
      <protection/>
    </xf>
    <xf numFmtId="0" fontId="22" fillId="4" borderId="0" xfId="22" applyFont="1" applyFill="1" applyBorder="1" applyAlignment="1">
      <alignment horizontal="left" wrapText="1"/>
      <protection/>
    </xf>
    <xf numFmtId="0" fontId="22" fillId="4" borderId="66" xfId="22" applyFont="1" applyFill="1" applyBorder="1" applyAlignment="1">
      <alignment horizontal="left" wrapText="1"/>
      <protection/>
    </xf>
    <xf numFmtId="0" fontId="22" fillId="4" borderId="85" xfId="22" applyFont="1" applyFill="1" applyBorder="1" applyAlignment="1">
      <alignment horizontal="left" wrapText="1"/>
      <protection/>
    </xf>
    <xf numFmtId="0" fontId="22" fillId="4" borderId="0" xfId="22" applyFont="1" applyFill="1" applyBorder="1" applyAlignment="1">
      <alignment horizontal="left" wrapText="1"/>
      <protection/>
    </xf>
    <xf numFmtId="0" fontId="27" fillId="4" borderId="0" xfId="22" applyFont="1" applyFill="1" applyBorder="1" applyAlignment="1">
      <alignment horizontal="left" wrapText="1"/>
      <protection/>
    </xf>
    <xf numFmtId="0" fontId="22" fillId="4" borderId="66" xfId="22" applyFont="1" applyFill="1" applyBorder="1" applyAlignment="1">
      <alignment horizontal="left" wrapText="1"/>
      <protection/>
    </xf>
    <xf numFmtId="0" fontId="3" fillId="0" borderId="0" xfId="24">
      <alignment/>
      <protection/>
    </xf>
    <xf numFmtId="0" fontId="2" fillId="4" borderId="8" xfId="0" applyFont="1" applyFill="1" applyBorder="1" applyAlignment="1">
      <alignment horizontal="center" wrapText="1"/>
    </xf>
    <xf numFmtId="4" fontId="0" fillId="4" borderId="0" xfId="0" applyNumberFormat="1" applyFill="1" applyAlignment="1">
      <alignment horizontal="center"/>
    </xf>
    <xf numFmtId="170" fontId="0" fillId="4" borderId="72" xfId="0" applyNumberFormat="1" applyFill="1" applyBorder="1" applyAlignment="1">
      <alignment horizontal="right" vertical="center"/>
    </xf>
    <xf numFmtId="170" fontId="0" fillId="4" borderId="73" xfId="0" applyNumberFormat="1" applyFill="1" applyBorder="1" applyAlignment="1">
      <alignment horizontal="right" vertical="center"/>
    </xf>
    <xf numFmtId="170" fontId="0" fillId="4" borderId="74" xfId="0" applyNumberFormat="1" applyFill="1" applyBorder="1" applyAlignment="1">
      <alignment horizontal="right" vertical="center"/>
    </xf>
    <xf numFmtId="170" fontId="0" fillId="4" borderId="93" xfId="0" applyNumberFormat="1" applyFill="1" applyBorder="1" applyAlignment="1">
      <alignment horizontal="right" vertical="center"/>
    </xf>
    <xf numFmtId="170" fontId="0" fillId="4" borderId="77" xfId="0" applyNumberFormat="1" applyFill="1" applyBorder="1" applyAlignment="1">
      <alignment horizontal="right" vertical="center"/>
    </xf>
    <xf numFmtId="170" fontId="0" fillId="4" borderId="78" xfId="0" applyNumberFormat="1" applyFill="1" applyBorder="1" applyAlignment="1">
      <alignment horizontal="right" vertical="center"/>
    </xf>
    <xf numFmtId="170" fontId="0" fillId="4" borderId="75" xfId="0" applyNumberFormat="1" applyFill="1" applyBorder="1" applyAlignment="1">
      <alignment horizontal="right" vertical="center"/>
    </xf>
    <xf numFmtId="170" fontId="0" fillId="4" borderId="94" xfId="0" applyNumberFormat="1" applyFill="1" applyBorder="1" applyAlignment="1">
      <alignment horizontal="right" vertical="center"/>
    </xf>
    <xf numFmtId="170" fontId="0" fillId="4" borderId="95" xfId="0" applyNumberFormat="1" applyFill="1" applyBorder="1" applyAlignment="1">
      <alignment horizontal="right" vertical="center"/>
    </xf>
    <xf numFmtId="170" fontId="0" fillId="4" borderId="96" xfId="0" applyNumberFormat="1" applyFill="1" applyBorder="1" applyAlignment="1">
      <alignment horizontal="right" vertical="center"/>
    </xf>
    <xf numFmtId="170" fontId="0" fillId="4" borderId="76" xfId="0" applyNumberFormat="1" applyFill="1" applyBorder="1" applyAlignment="1">
      <alignment horizontal="right" vertical="center"/>
    </xf>
    <xf numFmtId="170" fontId="0" fillId="4" borderId="97" xfId="0" applyNumberFormat="1" applyFill="1" applyBorder="1" applyAlignment="1">
      <alignment horizontal="right" vertical="center"/>
    </xf>
    <xf numFmtId="170" fontId="0" fillId="4" borderId="98" xfId="0" applyNumberFormat="1" applyFill="1" applyBorder="1" applyAlignment="1">
      <alignment horizontal="right" vertical="center"/>
    </xf>
    <xf numFmtId="170" fontId="0" fillId="4" borderId="99" xfId="0" applyNumberFormat="1" applyFill="1" applyBorder="1" applyAlignment="1">
      <alignment horizontal="right" vertical="center"/>
    </xf>
    <xf numFmtId="170" fontId="0" fillId="4" borderId="79" xfId="0" applyNumberFormat="1" applyFill="1" applyBorder="1" applyAlignment="1">
      <alignment horizontal="right" vertical="center"/>
    </xf>
    <xf numFmtId="170" fontId="0" fillId="4" borderId="80" xfId="0" applyNumberFormat="1" applyFill="1" applyBorder="1" applyAlignment="1">
      <alignment horizontal="right" vertical="center"/>
    </xf>
    <xf numFmtId="170" fontId="0" fillId="4" borderId="81" xfId="0" applyNumberFormat="1" applyFill="1" applyBorder="1" applyAlignment="1">
      <alignment horizontal="right" vertical="center"/>
    </xf>
    <xf numFmtId="4" fontId="2" fillId="4" borderId="21" xfId="0" applyNumberFormat="1" applyFont="1" applyFill="1" applyBorder="1" applyAlignment="1">
      <alignment horizontal="right" indent="2"/>
    </xf>
    <xf numFmtId="3" fontId="0" fillId="15" borderId="14" xfId="0" applyNumberFormat="1" applyFill="1" applyBorder="1" applyProtection="1">
      <protection locked="0"/>
    </xf>
    <xf numFmtId="9" fontId="0" fillId="5" borderId="14" xfId="0" applyNumberFormat="1" applyFill="1" applyBorder="1" applyAlignment="1" applyProtection="1">
      <alignment horizontal="center"/>
      <protection locked="0"/>
    </xf>
    <xf numFmtId="169" fontId="0" fillId="5" borderId="94" xfId="0" applyNumberFormat="1" applyFill="1" applyBorder="1" applyAlignment="1" applyProtection="1">
      <alignment horizontal="right" vertical="center"/>
      <protection locked="0"/>
    </xf>
    <xf numFmtId="164" fontId="0" fillId="15" borderId="14" xfId="0" applyNumberFormat="1" applyFill="1" applyBorder="1" applyProtection="1">
      <protection locked="0"/>
    </xf>
    <xf numFmtId="0" fontId="0" fillId="4" borderId="14" xfId="0" applyFont="1" applyFill="1" applyBorder="1" applyAlignment="1" applyProtection="1">
      <alignment horizontal="center"/>
      <protection locked="0"/>
    </xf>
    <xf numFmtId="0" fontId="0" fillId="4" borderId="16" xfId="0" applyFill="1" applyBorder="1" applyAlignment="1" quotePrefix="1">
      <alignment horizontal="right"/>
    </xf>
    <xf numFmtId="0" fontId="0" fillId="4" borderId="61" xfId="0" applyFill="1" applyBorder="1" applyAlignment="1">
      <alignment wrapText="1"/>
    </xf>
    <xf numFmtId="0" fontId="0" fillId="0" borderId="31" xfId="0" applyBorder="1" applyAlignment="1">
      <alignment wrapText="1"/>
    </xf>
    <xf numFmtId="0" fontId="0" fillId="4" borderId="0" xfId="0" applyFill="1" applyProtection="1">
      <protection/>
    </xf>
    <xf numFmtId="0" fontId="2" fillId="12" borderId="0" xfId="0" applyFont="1" applyFill="1" applyProtection="1">
      <protection/>
    </xf>
    <xf numFmtId="0" fontId="0" fillId="12" borderId="0" xfId="0" applyFill="1" applyProtection="1">
      <protection/>
    </xf>
    <xf numFmtId="3" fontId="0" fillId="12" borderId="0" xfId="0" applyNumberFormat="1" applyFill="1" applyProtection="1">
      <protection/>
    </xf>
    <xf numFmtId="0" fontId="0" fillId="0" borderId="0" xfId="0" applyProtection="1">
      <protection/>
    </xf>
    <xf numFmtId="0" fontId="0" fillId="12" borderId="0" xfId="0" applyFont="1" applyFill="1" applyProtection="1">
      <protection/>
    </xf>
    <xf numFmtId="0" fontId="23" fillId="4" borderId="0" xfId="22" applyFont="1" applyFill="1" applyBorder="1" applyAlignment="1">
      <alignment horizontal="left" vertical="top" wrapText="1"/>
      <protection/>
    </xf>
    <xf numFmtId="0" fontId="21" fillId="4" borderId="0" xfId="22" applyFont="1" applyFill="1" applyBorder="1" applyAlignment="1">
      <alignment horizontal="left" vertical="top" wrapText="1"/>
      <protection/>
    </xf>
    <xf numFmtId="0" fontId="0" fillId="14" borderId="0" xfId="0" applyFill="1"/>
    <xf numFmtId="170" fontId="2" fillId="0" borderId="21" xfId="0" applyNumberFormat="1" applyFont="1" applyFill="1" applyBorder="1" applyAlignment="1">
      <alignment horizontal="center"/>
    </xf>
    <xf numFmtId="172" fontId="0" fillId="4" borderId="14" xfId="0" applyNumberFormat="1" applyFill="1" applyBorder="1" applyAlignment="1">
      <alignment horizontal="right" indent="2"/>
    </xf>
    <xf numFmtId="172" fontId="2" fillId="4" borderId="14" xfId="0" applyNumberFormat="1" applyFont="1" applyFill="1" applyBorder="1" applyAlignment="1">
      <alignment horizontal="right" indent="2"/>
    </xf>
    <xf numFmtId="165" fontId="0" fillId="5" borderId="29" xfId="0" applyNumberFormat="1" applyFill="1" applyBorder="1" applyAlignment="1" applyProtection="1">
      <alignment horizontal="right" indent="1"/>
      <protection locked="0"/>
    </xf>
    <xf numFmtId="165" fontId="0" fillId="10" borderId="29" xfId="0" applyNumberFormat="1" applyFill="1" applyBorder="1" applyAlignment="1">
      <alignment horizontal="right" indent="1"/>
    </xf>
    <xf numFmtId="165" fontId="0" fillId="10" borderId="56" xfId="0" applyNumberFormat="1" applyFill="1" applyBorder="1" applyAlignment="1">
      <alignment horizontal="right" indent="1"/>
    </xf>
    <xf numFmtId="165" fontId="0" fillId="5" borderId="56" xfId="0" applyNumberFormat="1" applyFill="1" applyBorder="1" applyAlignment="1" applyProtection="1">
      <alignment horizontal="right" indent="1"/>
      <protection locked="0"/>
    </xf>
    <xf numFmtId="165" fontId="0" fillId="5" borderId="24" xfId="0" applyNumberFormat="1" applyFill="1" applyBorder="1" applyAlignment="1" applyProtection="1">
      <alignment horizontal="right" indent="1"/>
      <protection locked="0"/>
    </xf>
    <xf numFmtId="165" fontId="0" fillId="5" borderId="57" xfId="0" applyNumberFormat="1" applyFill="1" applyBorder="1" applyAlignment="1" applyProtection="1">
      <alignment horizontal="right" indent="1"/>
      <protection locked="0"/>
    </xf>
    <xf numFmtId="165" fontId="2" fillId="4" borderId="27" xfId="0" applyNumberFormat="1" applyFont="1" applyFill="1" applyBorder="1" applyAlignment="1">
      <alignment horizontal="right" indent="1"/>
    </xf>
    <xf numFmtId="165" fontId="2" fillId="4" borderId="59" xfId="0" applyNumberFormat="1" applyFont="1" applyFill="1" applyBorder="1" applyAlignment="1">
      <alignment horizontal="right" indent="1"/>
    </xf>
    <xf numFmtId="165" fontId="0" fillId="4" borderId="61" xfId="0" applyNumberFormat="1" applyFont="1" applyFill="1" applyBorder="1" applyAlignment="1">
      <alignment horizontal="right" indent="1"/>
    </xf>
    <xf numFmtId="165" fontId="0" fillId="4" borderId="100" xfId="0" applyNumberFormat="1" applyFont="1" applyFill="1" applyBorder="1" applyAlignment="1">
      <alignment horizontal="right" indent="1"/>
    </xf>
    <xf numFmtId="0" fontId="0" fillId="5" borderId="0" xfId="0" applyFill="1"/>
    <xf numFmtId="0" fontId="0" fillId="5" borderId="0" xfId="0" applyFill="1" applyAlignment="1">
      <alignment horizontal="center"/>
    </xf>
    <xf numFmtId="0" fontId="22" fillId="4" borderId="101" xfId="22" applyFont="1" applyFill="1" applyBorder="1" applyAlignment="1">
      <alignment wrapText="1"/>
      <protection/>
    </xf>
    <xf numFmtId="0" fontId="22" fillId="4" borderId="102" xfId="22" applyFont="1" applyFill="1" applyBorder="1" applyAlignment="1">
      <alignment wrapText="1"/>
      <protection/>
    </xf>
    <xf numFmtId="0" fontId="0" fillId="0" borderId="85" xfId="0" applyBorder="1" applyAlignment="1">
      <alignment horizontal="left"/>
    </xf>
    <xf numFmtId="0" fontId="0" fillId="0" borderId="0" xfId="0" applyBorder="1" applyAlignment="1">
      <alignment horizontal="left" wrapText="1"/>
    </xf>
    <xf numFmtId="0" fontId="23" fillId="4" borderId="0" xfId="22" applyFont="1" applyFill="1" applyBorder="1" applyAlignment="1">
      <alignment horizontal="distributed" vertical="top" wrapText="1"/>
      <protection/>
    </xf>
    <xf numFmtId="0" fontId="23" fillId="0" borderId="85" xfId="22" applyFont="1" applyFill="1" applyBorder="1" applyAlignment="1">
      <alignment horizontal="left" vertical="top" wrapText="1"/>
      <protection/>
    </xf>
    <xf numFmtId="0" fontId="23" fillId="0" borderId="0" xfId="22" applyFont="1" applyFill="1" applyBorder="1" applyAlignment="1">
      <alignment horizontal="left" vertical="top" wrapText="1"/>
      <protection/>
    </xf>
    <xf numFmtId="14" fontId="21" fillId="0" borderId="66" xfId="22" applyNumberFormat="1" applyFont="1" applyFill="1" applyBorder="1" applyAlignment="1">
      <alignment horizontal="left" vertical="top" wrapText="1"/>
      <protection/>
    </xf>
    <xf numFmtId="0" fontId="29" fillId="0" borderId="0" xfId="22" applyFont="1" applyFill="1" applyBorder="1" applyAlignment="1">
      <alignment horizontal="left" vertical="top" wrapText="1"/>
      <protection/>
    </xf>
    <xf numFmtId="169" fontId="0" fillId="0" borderId="72" xfId="0" applyNumberFormat="1" applyFill="1" applyBorder="1" applyAlignment="1">
      <alignment horizontal="right" vertical="center"/>
    </xf>
    <xf numFmtId="169" fontId="0" fillId="0" borderId="73" xfId="0" applyNumberFormat="1" applyFill="1" applyBorder="1" applyAlignment="1">
      <alignment horizontal="right" vertical="center"/>
    </xf>
    <xf numFmtId="169" fontId="0" fillId="0" borderId="74" xfId="0" applyNumberFormat="1" applyFill="1" applyBorder="1" applyAlignment="1">
      <alignment horizontal="right" vertical="center"/>
    </xf>
    <xf numFmtId="169" fontId="0" fillId="4" borderId="93" xfId="0" applyNumberFormat="1" applyFill="1" applyBorder="1" applyAlignment="1">
      <alignment horizontal="right" vertical="center"/>
    </xf>
    <xf numFmtId="169" fontId="0" fillId="4" borderId="95" xfId="0" applyNumberFormat="1" applyFill="1" applyBorder="1" applyAlignment="1">
      <alignment horizontal="right" vertical="center"/>
    </xf>
    <xf numFmtId="169" fontId="0" fillId="4" borderId="96" xfId="0" applyNumberFormat="1" applyFill="1" applyBorder="1" applyAlignment="1">
      <alignment horizontal="right" vertical="center"/>
    </xf>
    <xf numFmtId="169" fontId="0" fillId="0" borderId="75" xfId="0" applyNumberFormat="1" applyFill="1" applyBorder="1" applyAlignment="1">
      <alignment horizontal="right" vertical="center"/>
    </xf>
    <xf numFmtId="169" fontId="0" fillId="4" borderId="94" xfId="0" applyNumberFormat="1" applyFill="1" applyBorder="1" applyAlignment="1">
      <alignment horizontal="right" vertical="center"/>
    </xf>
    <xf numFmtId="169" fontId="0" fillId="0" borderId="76" xfId="0" applyNumberFormat="1" applyFill="1" applyBorder="1" applyAlignment="1">
      <alignment horizontal="right" vertical="center"/>
    </xf>
    <xf numFmtId="169" fontId="0" fillId="0" borderId="77" xfId="0" applyNumberFormat="1" applyFill="1" applyBorder="1" applyAlignment="1">
      <alignment horizontal="right" vertical="center"/>
    </xf>
    <xf numFmtId="169" fontId="0" fillId="0" borderId="78" xfId="0" applyNumberFormat="1" applyFill="1" applyBorder="1" applyAlignment="1">
      <alignment horizontal="right" vertical="center"/>
    </xf>
    <xf numFmtId="169" fontId="0" fillId="4" borderId="97" xfId="0" applyNumberFormat="1" applyFill="1" applyBorder="1" applyAlignment="1">
      <alignment horizontal="right" vertical="center"/>
    </xf>
    <xf numFmtId="169" fontId="0" fillId="4" borderId="98" xfId="0" applyNumberFormat="1" applyFill="1" applyBorder="1" applyAlignment="1">
      <alignment horizontal="right" vertical="center"/>
    </xf>
    <xf numFmtId="169" fontId="0" fillId="4" borderId="99" xfId="0" applyNumberFormat="1" applyFill="1" applyBorder="1" applyAlignment="1">
      <alignment horizontal="right" vertical="center"/>
    </xf>
    <xf numFmtId="169" fontId="0" fillId="0" borderId="79" xfId="0" applyNumberFormat="1" applyFill="1" applyBorder="1" applyAlignment="1">
      <alignment horizontal="right" vertical="center"/>
    </xf>
    <xf numFmtId="169" fontId="0" fillId="0" borderId="80" xfId="0" applyNumberFormat="1" applyFill="1" applyBorder="1" applyAlignment="1">
      <alignment horizontal="right" vertical="center"/>
    </xf>
    <xf numFmtId="169" fontId="0" fillId="0" borderId="81" xfId="0" applyNumberFormat="1" applyFill="1" applyBorder="1" applyAlignment="1">
      <alignment horizontal="right" vertical="center"/>
    </xf>
    <xf numFmtId="165" fontId="0" fillId="4" borderId="24" xfId="0" applyNumberFormat="1" applyFill="1" applyBorder="1" applyAlignment="1" applyProtection="1">
      <alignment horizontal="right" indent="1"/>
      <protection/>
    </xf>
    <xf numFmtId="165" fontId="0" fillId="4" borderId="57" xfId="0" applyNumberFormat="1" applyFill="1" applyBorder="1" applyAlignment="1" applyProtection="1">
      <alignment horizontal="right" indent="1"/>
      <protection/>
    </xf>
    <xf numFmtId="0" fontId="0" fillId="4" borderId="0" xfId="0" applyFill="1" applyAlignment="1" applyProtection="1">
      <alignment horizontal="center"/>
      <protection/>
    </xf>
    <xf numFmtId="0" fontId="2" fillId="4" borderId="0" xfId="0" applyFont="1" applyFill="1" applyProtection="1">
      <protection/>
    </xf>
    <xf numFmtId="0" fontId="2" fillId="15" borderId="0" xfId="0" applyFont="1" applyFill="1" applyProtection="1">
      <protection/>
    </xf>
    <xf numFmtId="0" fontId="0" fillId="15" borderId="0" xfId="0" applyFill="1" applyProtection="1">
      <protection/>
    </xf>
    <xf numFmtId="0" fontId="0" fillId="15" borderId="14" xfId="0" applyFill="1" applyBorder="1" applyProtection="1">
      <protection/>
    </xf>
    <xf numFmtId="0" fontId="30" fillId="12" borderId="0" xfId="0" applyFont="1" applyFill="1" applyProtection="1">
      <protection/>
    </xf>
    <xf numFmtId="9" fontId="0" fillId="15" borderId="14" xfId="0" applyNumberFormat="1" applyFill="1" applyBorder="1" applyProtection="1">
      <protection/>
    </xf>
    <xf numFmtId="0" fontId="0" fillId="12" borderId="0" xfId="0" applyFill="1" applyAlignment="1" applyProtection="1">
      <alignment horizontal="center"/>
      <protection/>
    </xf>
    <xf numFmtId="3" fontId="0" fillId="15" borderId="14" xfId="0" applyNumberFormat="1" applyFill="1" applyBorder="1" applyProtection="1">
      <protection/>
    </xf>
    <xf numFmtId="0" fontId="0" fillId="12" borderId="0" xfId="0" applyFill="1" applyAlignment="1" applyProtection="1">
      <alignment horizontal="right"/>
      <protection/>
    </xf>
    <xf numFmtId="2" fontId="0" fillId="15" borderId="14" xfId="0" applyNumberFormat="1" applyFill="1" applyBorder="1" applyProtection="1">
      <protection/>
    </xf>
    <xf numFmtId="0" fontId="0" fillId="15" borderId="14" xfId="0" applyNumberFormat="1" applyFill="1" applyBorder="1" applyProtection="1">
      <protection/>
    </xf>
    <xf numFmtId="0" fontId="0" fillId="12" borderId="0" xfId="0" applyNumberFormat="1" applyFill="1" applyBorder="1" applyProtection="1">
      <protection/>
    </xf>
    <xf numFmtId="9" fontId="0" fillId="12" borderId="0" xfId="0" applyNumberFormat="1" applyFill="1" applyBorder="1" applyProtection="1">
      <protection/>
    </xf>
    <xf numFmtId="10" fontId="0" fillId="15" borderId="14" xfId="0" applyNumberFormat="1" applyFill="1" applyBorder="1" applyProtection="1">
      <protection/>
    </xf>
    <xf numFmtId="10" fontId="0" fillId="12" borderId="0" xfId="0" applyNumberFormat="1" applyFill="1" applyBorder="1" applyProtection="1">
      <protection/>
    </xf>
    <xf numFmtId="0" fontId="0" fillId="4" borderId="0" xfId="0" applyFont="1" applyFill="1" applyProtection="1">
      <protection/>
    </xf>
    <xf numFmtId="10" fontId="0" fillId="4" borderId="0" xfId="0" applyNumberFormat="1" applyFill="1" applyBorder="1" applyProtection="1">
      <protection/>
    </xf>
    <xf numFmtId="0" fontId="0" fillId="4" borderId="0" xfId="0" applyFill="1" applyAlignment="1" applyProtection="1">
      <alignment wrapText="1"/>
      <protection/>
    </xf>
    <xf numFmtId="0" fontId="0" fillId="0" borderId="0" xfId="0" applyAlignment="1" applyProtection="1">
      <alignment wrapText="1"/>
      <protection/>
    </xf>
    <xf numFmtId="0" fontId="0" fillId="4" borderId="0" xfId="0" applyFill="1" applyAlignment="1" applyProtection="1">
      <alignment horizontal="center" wrapText="1"/>
      <protection/>
    </xf>
    <xf numFmtId="0" fontId="0" fillId="4" borderId="22" xfId="0" applyFill="1" applyBorder="1" applyAlignment="1" applyProtection="1">
      <alignment horizontal="center" wrapText="1"/>
      <protection/>
    </xf>
    <xf numFmtId="0" fontId="0" fillId="4" borderId="20" xfId="0" applyFill="1" applyBorder="1" applyAlignment="1" applyProtection="1">
      <alignment horizontal="center" wrapText="1"/>
      <protection/>
    </xf>
    <xf numFmtId="0" fontId="0" fillId="3" borderId="20" xfId="0" applyFill="1" applyBorder="1" applyAlignment="1" applyProtection="1">
      <alignment horizontal="center" wrapText="1"/>
      <protection/>
    </xf>
    <xf numFmtId="0" fontId="0" fillId="4" borderId="23" xfId="0" applyFill="1" applyBorder="1" applyAlignment="1" applyProtection="1">
      <alignment horizontal="center" wrapText="1"/>
      <protection/>
    </xf>
    <xf numFmtId="0" fontId="0" fillId="0" borderId="0" xfId="0" applyAlignment="1" applyProtection="1">
      <alignment horizontal="center" wrapText="1"/>
      <protection/>
    </xf>
    <xf numFmtId="0" fontId="0" fillId="4" borderId="9" xfId="0" applyFill="1" applyBorder="1" applyProtection="1">
      <protection/>
    </xf>
    <xf numFmtId="0" fontId="0" fillId="4" borderId="11" xfId="0" applyFill="1" applyBorder="1" applyAlignment="1" applyProtection="1">
      <alignment horizontal="right"/>
      <protection/>
    </xf>
    <xf numFmtId="0" fontId="0" fillId="4" borderId="11" xfId="0" applyFill="1" applyBorder="1" applyProtection="1">
      <protection/>
    </xf>
    <xf numFmtId="9" fontId="0" fillId="15" borderId="11" xfId="0" applyNumberFormat="1" applyFill="1" applyBorder="1" applyAlignment="1" applyProtection="1">
      <alignment horizontal="center"/>
      <protection/>
    </xf>
    <xf numFmtId="9" fontId="0" fillId="4" borderId="56" xfId="0" applyNumberFormat="1" applyFill="1" applyBorder="1" applyAlignment="1" applyProtection="1">
      <alignment horizontal="center"/>
      <protection/>
    </xf>
    <xf numFmtId="0" fontId="0" fillId="4" borderId="12" xfId="0" applyFill="1" applyBorder="1" applyProtection="1">
      <protection/>
    </xf>
    <xf numFmtId="0" fontId="0" fillId="4" borderId="14" xfId="0" applyFill="1" applyBorder="1" applyAlignment="1" applyProtection="1">
      <alignment horizontal="right"/>
      <protection/>
    </xf>
    <xf numFmtId="0" fontId="0" fillId="4" borderId="14" xfId="0" applyFill="1" applyBorder="1" applyProtection="1">
      <protection/>
    </xf>
    <xf numFmtId="0" fontId="0" fillId="4" borderId="15" xfId="0" applyFill="1" applyBorder="1" applyProtection="1">
      <protection/>
    </xf>
    <xf numFmtId="0" fontId="0" fillId="4" borderId="5" xfId="0" applyFill="1" applyBorder="1" applyProtection="1">
      <protection/>
    </xf>
    <xf numFmtId="0" fontId="0" fillId="4" borderId="18" xfId="0" applyFill="1" applyBorder="1" applyAlignment="1" applyProtection="1">
      <alignment horizontal="right"/>
      <protection/>
    </xf>
    <xf numFmtId="0" fontId="0" fillId="4" borderId="25" xfId="0" applyFill="1" applyBorder="1" applyProtection="1">
      <protection/>
    </xf>
    <xf numFmtId="9" fontId="0" fillId="4" borderId="14" xfId="0" applyNumberFormat="1" applyFill="1" applyBorder="1" applyAlignment="1" applyProtection="1">
      <alignment horizontal="center"/>
      <protection/>
    </xf>
    <xf numFmtId="9" fontId="0" fillId="15" borderId="14" xfId="0" applyNumberFormat="1" applyFill="1" applyBorder="1" applyAlignment="1" applyProtection="1">
      <alignment horizontal="center"/>
      <protection/>
    </xf>
    <xf numFmtId="9" fontId="0" fillId="4" borderId="57" xfId="0" applyNumberFormat="1" applyFill="1" applyBorder="1" applyAlignment="1" applyProtection="1">
      <alignment horizontal="center"/>
      <protection/>
    </xf>
    <xf numFmtId="0" fontId="0" fillId="4" borderId="16" xfId="0" applyFill="1" applyBorder="1" applyProtection="1">
      <protection/>
    </xf>
    <xf numFmtId="9" fontId="0" fillId="0" borderId="14" xfId="0" applyNumberFormat="1" applyFill="1" applyBorder="1" applyAlignment="1" applyProtection="1">
      <alignment horizontal="center"/>
      <protection/>
    </xf>
    <xf numFmtId="0" fontId="0" fillId="4" borderId="6" xfId="0" applyFill="1" applyBorder="1" applyProtection="1">
      <protection/>
    </xf>
    <xf numFmtId="0" fontId="0" fillId="4" borderId="19" xfId="0" applyFill="1" applyBorder="1" applyAlignment="1" applyProtection="1">
      <alignment horizontal="right"/>
      <protection/>
    </xf>
    <xf numFmtId="0" fontId="0" fillId="4" borderId="28" xfId="0" applyFill="1" applyBorder="1" applyProtection="1">
      <protection/>
    </xf>
    <xf numFmtId="9" fontId="2" fillId="0" borderId="21" xfId="0" applyNumberFormat="1" applyFont="1" applyFill="1" applyBorder="1" applyAlignment="1" applyProtection="1">
      <alignment horizontal="center"/>
      <protection/>
    </xf>
    <xf numFmtId="9" fontId="2" fillId="0" borderId="59" xfId="0" applyNumberFormat="1" applyFont="1" applyFill="1" applyBorder="1" applyAlignment="1" applyProtection="1">
      <alignment horizontal="center"/>
      <protection/>
    </xf>
    <xf numFmtId="0" fontId="0" fillId="4" borderId="15" xfId="0" applyFill="1" applyBorder="1" applyAlignment="1" applyProtection="1" quotePrefix="1">
      <alignment horizontal="right"/>
      <protection/>
    </xf>
    <xf numFmtId="0" fontId="0" fillId="4" borderId="5" xfId="0" applyFill="1" applyBorder="1" applyAlignment="1" applyProtection="1" quotePrefix="1">
      <alignment horizontal="right"/>
      <protection/>
    </xf>
    <xf numFmtId="0" fontId="0" fillId="4" borderId="18" xfId="0" applyFill="1" applyBorder="1" applyProtection="1">
      <protection/>
    </xf>
    <xf numFmtId="0" fontId="0" fillId="4" borderId="16" xfId="0" applyFill="1" applyBorder="1" applyAlignment="1" applyProtection="1" quotePrefix="1">
      <alignment horizontal="right"/>
      <protection/>
    </xf>
    <xf numFmtId="0" fontId="0" fillId="4" borderId="61" xfId="0" applyFill="1" applyBorder="1" applyAlignment="1" applyProtection="1">
      <alignment wrapText="1"/>
      <protection/>
    </xf>
    <xf numFmtId="0" fontId="0" fillId="0" borderId="31" xfId="0" applyBorder="1" applyAlignment="1" applyProtection="1">
      <alignment wrapText="1"/>
      <protection/>
    </xf>
    <xf numFmtId="0" fontId="0" fillId="4" borderId="31" xfId="0" applyFill="1" applyBorder="1" applyProtection="1">
      <protection/>
    </xf>
    <xf numFmtId="0" fontId="0" fillId="4" borderId="32" xfId="0" applyFill="1" applyBorder="1" applyProtection="1">
      <protection/>
    </xf>
    <xf numFmtId="0" fontId="0" fillId="4" borderId="6" xfId="0" applyFill="1" applyBorder="1" applyAlignment="1" applyProtection="1" quotePrefix="1">
      <alignment horizontal="right"/>
      <protection/>
    </xf>
    <xf numFmtId="0" fontId="0" fillId="4" borderId="19" xfId="0" applyFill="1" applyBorder="1" applyProtection="1">
      <protection/>
    </xf>
    <xf numFmtId="9" fontId="2" fillId="4" borderId="21" xfId="0" applyNumberFormat="1" applyFont="1" applyFill="1" applyBorder="1" applyAlignment="1" applyProtection="1">
      <alignment horizontal="center"/>
      <protection/>
    </xf>
    <xf numFmtId="9" fontId="2" fillId="4" borderId="59" xfId="0" applyNumberFormat="1" applyFont="1" applyFill="1" applyBorder="1" applyAlignment="1" applyProtection="1">
      <alignment horizontal="center"/>
      <protection/>
    </xf>
    <xf numFmtId="0" fontId="0" fillId="4" borderId="0" xfId="0" applyFont="1" applyFill="1" applyProtection="1">
      <protection/>
    </xf>
    <xf numFmtId="1" fontId="0" fillId="3" borderId="36" xfId="0" applyNumberFormat="1" applyFont="1" applyFill="1" applyBorder="1" applyAlignment="1" applyProtection="1">
      <alignment horizontal="center" vertical="center" wrapText="1"/>
      <protection/>
    </xf>
    <xf numFmtId="1" fontId="0" fillId="3" borderId="37" xfId="0" applyNumberFormat="1" applyFont="1" applyFill="1" applyBorder="1" applyAlignment="1" applyProtection="1">
      <alignment horizontal="center" vertical="center" wrapText="1"/>
      <protection/>
    </xf>
    <xf numFmtId="1" fontId="0" fillId="3" borderId="38" xfId="0" applyNumberFormat="1" applyFont="1" applyFill="1" applyBorder="1" applyAlignment="1" applyProtection="1">
      <alignment horizontal="center" vertical="center" wrapText="1"/>
      <protection/>
    </xf>
    <xf numFmtId="0" fontId="1" fillId="2" borderId="40" xfId="0" applyFont="1" applyFill="1" applyBorder="1" applyAlignment="1" applyProtection="1">
      <alignment horizontal="center"/>
      <protection/>
    </xf>
    <xf numFmtId="9" fontId="0" fillId="0" borderId="72" xfId="0" applyNumberFormat="1" applyFill="1" applyBorder="1" applyAlignment="1" applyProtection="1">
      <alignment horizontal="center" vertical="center"/>
      <protection/>
    </xf>
    <xf numFmtId="9" fontId="0" fillId="0" borderId="73" xfId="0" applyNumberFormat="1" applyFill="1" applyBorder="1" applyAlignment="1" applyProtection="1">
      <alignment horizontal="center" vertical="center"/>
      <protection/>
    </xf>
    <xf numFmtId="9" fontId="0" fillId="0" borderId="74" xfId="0" applyNumberFormat="1" applyFill="1" applyBorder="1" applyAlignment="1" applyProtection="1">
      <alignment horizontal="center" vertical="center"/>
      <protection/>
    </xf>
    <xf numFmtId="0" fontId="1" fillId="2" borderId="41" xfId="0" applyFont="1" applyFill="1" applyBorder="1" applyAlignment="1" applyProtection="1">
      <alignment horizontal="center"/>
      <protection/>
    </xf>
    <xf numFmtId="9" fontId="0" fillId="15" borderId="93" xfId="0" applyNumberFormat="1" applyFill="1" applyBorder="1" applyAlignment="1" applyProtection="1">
      <alignment horizontal="center" vertical="center"/>
      <protection/>
    </xf>
    <xf numFmtId="9" fontId="0" fillId="15" borderId="95" xfId="0" applyNumberFormat="1" applyFill="1" applyBorder="1" applyAlignment="1" applyProtection="1">
      <alignment horizontal="center" vertical="center"/>
      <protection/>
    </xf>
    <xf numFmtId="9" fontId="0" fillId="15" borderId="96" xfId="0" applyNumberFormat="1" applyFill="1" applyBorder="1" applyAlignment="1" applyProtection="1">
      <alignment horizontal="center" vertical="center"/>
      <protection/>
    </xf>
    <xf numFmtId="0" fontId="1" fillId="2" borderId="1" xfId="0" applyFont="1" applyFill="1" applyBorder="1" applyAlignment="1" applyProtection="1">
      <alignment horizontal="center"/>
      <protection/>
    </xf>
    <xf numFmtId="9" fontId="0" fillId="0" borderId="75" xfId="0" applyNumberFormat="1" applyFill="1" applyBorder="1" applyAlignment="1" applyProtection="1">
      <alignment horizontal="center" vertical="center"/>
      <protection/>
    </xf>
    <xf numFmtId="0" fontId="1" fillId="2" borderId="42" xfId="0" applyFont="1" applyFill="1" applyBorder="1" applyAlignment="1" applyProtection="1">
      <alignment horizontal="center"/>
      <protection/>
    </xf>
    <xf numFmtId="9" fontId="0" fillId="15" borderId="94" xfId="0" applyNumberFormat="1" applyFill="1" applyBorder="1" applyAlignment="1" applyProtection="1">
      <alignment horizontal="center" vertical="center"/>
      <protection/>
    </xf>
    <xf numFmtId="9" fontId="0" fillId="15" borderId="75" xfId="0" applyNumberFormat="1" applyFill="1" applyBorder="1" applyAlignment="1" applyProtection="1">
      <alignment horizontal="center" vertical="center"/>
      <protection/>
    </xf>
    <xf numFmtId="9" fontId="0" fillId="15" borderId="73" xfId="0" applyNumberFormat="1" applyFill="1" applyBorder="1" applyAlignment="1" applyProtection="1">
      <alignment horizontal="center" vertical="center"/>
      <protection/>
    </xf>
    <xf numFmtId="9" fontId="0" fillId="15" borderId="74" xfId="0" applyNumberFormat="1" applyFill="1" applyBorder="1" applyAlignment="1" applyProtection="1">
      <alignment horizontal="center" vertical="center"/>
      <protection/>
    </xf>
    <xf numFmtId="0" fontId="1" fillId="2" borderId="2" xfId="0" applyFont="1" applyFill="1" applyBorder="1" applyAlignment="1" applyProtection="1">
      <alignment horizontal="center"/>
      <protection/>
    </xf>
    <xf numFmtId="9" fontId="0" fillId="0" borderId="76" xfId="0" applyNumberFormat="1" applyFill="1" applyBorder="1" applyAlignment="1" applyProtection="1">
      <alignment horizontal="center" vertical="center"/>
      <protection/>
    </xf>
    <xf numFmtId="9" fontId="0" fillId="0" borderId="77" xfId="0" applyNumberFormat="1" applyFill="1" applyBorder="1" applyAlignment="1" applyProtection="1">
      <alignment horizontal="center" vertical="center"/>
      <protection/>
    </xf>
    <xf numFmtId="9" fontId="0" fillId="0" borderId="78" xfId="0" applyNumberFormat="1" applyFill="1" applyBorder="1" applyAlignment="1" applyProtection="1">
      <alignment horizontal="center" vertical="center"/>
      <protection/>
    </xf>
    <xf numFmtId="0" fontId="1" fillId="2" borderId="35" xfId="0" applyFont="1" applyFill="1" applyBorder="1" applyAlignment="1" applyProtection="1">
      <alignment horizontal="center"/>
      <protection/>
    </xf>
    <xf numFmtId="9" fontId="0" fillId="15" borderId="97" xfId="0" applyNumberFormat="1" applyFill="1" applyBorder="1" applyAlignment="1" applyProtection="1">
      <alignment horizontal="center" vertical="center"/>
      <protection/>
    </xf>
    <xf numFmtId="9" fontId="0" fillId="15" borderId="98" xfId="0" applyNumberFormat="1" applyFill="1" applyBorder="1" applyAlignment="1" applyProtection="1">
      <alignment horizontal="center" vertical="center"/>
      <protection/>
    </xf>
    <xf numFmtId="9" fontId="0" fillId="15" borderId="99" xfId="0" applyNumberFormat="1" applyFill="1" applyBorder="1" applyAlignment="1" applyProtection="1">
      <alignment horizontal="center" vertical="center"/>
      <protection/>
    </xf>
    <xf numFmtId="0" fontId="1" fillId="2" borderId="3" xfId="0" applyFont="1" applyFill="1" applyBorder="1" applyAlignment="1" applyProtection="1">
      <alignment horizontal="center"/>
      <protection/>
    </xf>
    <xf numFmtId="9" fontId="0" fillId="0" borderId="79" xfId="0" applyNumberFormat="1" applyFill="1" applyBorder="1" applyAlignment="1" applyProtection="1">
      <alignment horizontal="center" vertical="center"/>
      <protection/>
    </xf>
    <xf numFmtId="9" fontId="0" fillId="0" borderId="80" xfId="0" applyNumberFormat="1" applyFill="1" applyBorder="1" applyAlignment="1" applyProtection="1">
      <alignment horizontal="center" vertical="center"/>
      <protection/>
    </xf>
    <xf numFmtId="9" fontId="0" fillId="0" borderId="81" xfId="0" applyNumberFormat="1" applyFill="1" applyBorder="1" applyAlignment="1" applyProtection="1">
      <alignment horizontal="center" vertical="center"/>
      <protection/>
    </xf>
    <xf numFmtId="0" fontId="0" fillId="0" borderId="0" xfId="0" applyFill="1" applyProtection="1">
      <protection/>
    </xf>
    <xf numFmtId="0" fontId="2" fillId="3" borderId="4" xfId="0" applyFont="1" applyFill="1" applyBorder="1" applyAlignment="1" applyProtection="1">
      <alignment vertical="center"/>
      <protection/>
    </xf>
    <xf numFmtId="0" fontId="0" fillId="3" borderId="4" xfId="0" applyFill="1" applyBorder="1" applyAlignment="1" applyProtection="1">
      <alignment vertical="center"/>
      <protection/>
    </xf>
    <xf numFmtId="0" fontId="2" fillId="3" borderId="39" xfId="0" applyFont="1" applyFill="1" applyBorder="1" applyAlignment="1" applyProtection="1">
      <alignment horizontal="center" vertical="center"/>
      <protection/>
    </xf>
    <xf numFmtId="0" fontId="2" fillId="0" borderId="86" xfId="0" applyFont="1" applyFill="1" applyBorder="1" applyAlignment="1" applyProtection="1">
      <alignment horizontal="left" vertical="center"/>
      <protection/>
    </xf>
    <xf numFmtId="0" fontId="2" fillId="0" borderId="103" xfId="0" applyFont="1" applyFill="1" applyBorder="1" applyAlignment="1" applyProtection="1">
      <alignment horizontal="left" vertical="center"/>
      <protection/>
    </xf>
    <xf numFmtId="0" fontId="1" fillId="2" borderId="24" xfId="0" applyFont="1" applyFill="1" applyBorder="1" applyAlignment="1" applyProtection="1">
      <alignment horizontal="center" vertical="center"/>
      <protection/>
    </xf>
    <xf numFmtId="0" fontId="2" fillId="0" borderId="25" xfId="0" applyFont="1" applyFill="1" applyBorder="1" applyAlignment="1" applyProtection="1">
      <alignment horizontal="left" vertical="center"/>
      <protection/>
    </xf>
    <xf numFmtId="0" fontId="2" fillId="0" borderId="104" xfId="0" applyFont="1" applyFill="1" applyBorder="1" applyAlignment="1" applyProtection="1">
      <alignment horizontal="left" vertical="center"/>
      <protection/>
    </xf>
    <xf numFmtId="0" fontId="2" fillId="0" borderId="28" xfId="0" applyFont="1" applyFill="1" applyBorder="1" applyAlignment="1" applyProtection="1">
      <alignment horizontal="left" vertical="center"/>
      <protection/>
    </xf>
    <xf numFmtId="0" fontId="1" fillId="2" borderId="27" xfId="0" applyFont="1" applyFill="1" applyBorder="1" applyAlignment="1" applyProtection="1">
      <alignment horizontal="center" vertical="center"/>
      <protection/>
    </xf>
    <xf numFmtId="0" fontId="2" fillId="4" borderId="0" xfId="0" applyFont="1" applyFill="1" applyBorder="1" applyAlignment="1" applyProtection="1">
      <alignment horizontal="left" vertical="center"/>
      <protection/>
    </xf>
    <xf numFmtId="0" fontId="0" fillId="12" borderId="0" xfId="0" applyFont="1" applyFill="1" applyBorder="1" applyAlignment="1" applyProtection="1">
      <alignment horizontal="left" vertical="center"/>
      <protection/>
    </xf>
    <xf numFmtId="0" fontId="0" fillId="4" borderId="82" xfId="0" applyFill="1" applyBorder="1" applyProtection="1">
      <protection/>
    </xf>
    <xf numFmtId="0" fontId="0" fillId="4" borderId="83" xfId="0" applyFill="1" applyBorder="1" applyProtection="1">
      <protection/>
    </xf>
    <xf numFmtId="0" fontId="0" fillId="4" borderId="105" xfId="0" applyFill="1" applyBorder="1" applyProtection="1">
      <protection/>
    </xf>
    <xf numFmtId="0" fontId="0" fillId="15" borderId="106" xfId="0" applyFill="1" applyBorder="1" applyProtection="1">
      <protection/>
    </xf>
    <xf numFmtId="0" fontId="0" fillId="4" borderId="106" xfId="0" applyFill="1" applyBorder="1" applyProtection="1">
      <protection/>
    </xf>
    <xf numFmtId="0" fontId="0" fillId="4" borderId="107" xfId="0" applyFill="1" applyBorder="1" applyAlignment="1" applyProtection="1">
      <alignment horizontal="right"/>
      <protection/>
    </xf>
    <xf numFmtId="0" fontId="4" fillId="4" borderId="0" xfId="0" applyFont="1" applyFill="1" applyBorder="1" applyProtection="1">
      <protection/>
    </xf>
    <xf numFmtId="0" fontId="0" fillId="4" borderId="24" xfId="0" applyFill="1" applyBorder="1" applyProtection="1">
      <protection/>
    </xf>
    <xf numFmtId="0" fontId="0" fillId="15" borderId="57" xfId="0" applyFill="1" applyBorder="1" applyProtection="1">
      <protection/>
    </xf>
    <xf numFmtId="166" fontId="0" fillId="4" borderId="14" xfId="0" applyNumberFormat="1" applyFill="1" applyBorder="1" applyProtection="1">
      <protection/>
    </xf>
    <xf numFmtId="166" fontId="0" fillId="4" borderId="57" xfId="0" applyNumberFormat="1" applyFill="1" applyBorder="1" applyProtection="1">
      <protection/>
    </xf>
    <xf numFmtId="166" fontId="4" fillId="4" borderId="0" xfId="0" applyNumberFormat="1" applyFont="1" applyFill="1" applyBorder="1" applyProtection="1">
      <protection/>
    </xf>
    <xf numFmtId="0" fontId="2" fillId="4" borderId="6" xfId="0" applyFont="1" applyFill="1" applyBorder="1" applyProtection="1">
      <protection/>
    </xf>
    <xf numFmtId="0" fontId="2" fillId="4" borderId="27" xfId="0" applyFont="1" applyFill="1" applyBorder="1" applyProtection="1">
      <protection/>
    </xf>
    <xf numFmtId="0" fontId="2" fillId="4" borderId="28" xfId="0" applyFont="1" applyFill="1" applyBorder="1" applyProtection="1">
      <protection/>
    </xf>
    <xf numFmtId="164" fontId="2" fillId="12" borderId="21" xfId="0" applyNumberFormat="1" applyFont="1" applyFill="1" applyBorder="1" applyProtection="1">
      <protection/>
    </xf>
    <xf numFmtId="164" fontId="2" fillId="4" borderId="21" xfId="0" applyNumberFormat="1" applyFont="1" applyFill="1" applyBorder="1" applyProtection="1">
      <protection/>
    </xf>
    <xf numFmtId="164" fontId="2" fillId="4" borderId="59" xfId="0" applyNumberFormat="1" applyFont="1" applyFill="1" applyBorder="1" applyProtection="1">
      <protection/>
    </xf>
    <xf numFmtId="164" fontId="4" fillId="4" borderId="0" xfId="0" applyNumberFormat="1" applyFont="1" applyFill="1" applyBorder="1" applyProtection="1">
      <protection/>
    </xf>
    <xf numFmtId="0" fontId="2" fillId="12" borderId="0" xfId="0" applyFont="1" applyFill="1" applyBorder="1" applyProtection="1">
      <protection/>
    </xf>
    <xf numFmtId="164" fontId="2" fillId="12" borderId="0" xfId="0" applyNumberFormat="1" applyFont="1" applyFill="1" applyBorder="1" applyProtection="1">
      <protection/>
    </xf>
    <xf numFmtId="1" fontId="0" fillId="4" borderId="106" xfId="0" applyNumberFormat="1" applyFill="1" applyBorder="1" applyAlignment="1" applyProtection="1">
      <alignment horizontal="center"/>
      <protection/>
    </xf>
    <xf numFmtId="1" fontId="0" fillId="4" borderId="107" xfId="0" applyNumberFormat="1" applyFill="1" applyBorder="1" applyAlignment="1" applyProtection="1">
      <alignment horizontal="center"/>
      <protection/>
    </xf>
    <xf numFmtId="0" fontId="2" fillId="4" borderId="104" xfId="0" applyFont="1" applyFill="1" applyBorder="1" applyProtection="1">
      <protection/>
    </xf>
    <xf numFmtId="0" fontId="2" fillId="4" borderId="19" xfId="0" applyFont="1" applyFill="1" applyBorder="1" applyProtection="1">
      <protection/>
    </xf>
    <xf numFmtId="0" fontId="0" fillId="0" borderId="0" xfId="0" applyFill="1" applyAlignment="1" applyProtection="1">
      <alignment horizontal="center"/>
      <protection/>
    </xf>
    <xf numFmtId="173" fontId="0" fillId="15" borderId="14" xfId="0" applyNumberFormat="1" applyFill="1" applyBorder="1" applyProtection="1">
      <protection/>
    </xf>
    <xf numFmtId="0" fontId="4" fillId="4" borderId="0" xfId="0" applyFont="1" applyFill="1" applyProtection="1">
      <protection/>
    </xf>
    <xf numFmtId="0" fontId="5" fillId="4" borderId="0" xfId="0" applyFont="1" applyFill="1" applyProtection="1">
      <protection/>
    </xf>
    <xf numFmtId="171" fontId="0" fillId="4" borderId="14" xfId="0" applyNumberFormat="1" applyFill="1" applyBorder="1" applyProtection="1">
      <protection/>
    </xf>
    <xf numFmtId="164" fontId="0" fillId="11" borderId="14" xfId="0" applyNumberFormat="1" applyFill="1" applyBorder="1" applyProtection="1">
      <protection/>
    </xf>
    <xf numFmtId="10" fontId="0" fillId="4" borderId="14" xfId="21" applyNumberFormat="1" applyFont="1" applyFill="1" applyBorder="1" applyProtection="1">
      <protection/>
    </xf>
    <xf numFmtId="0" fontId="1" fillId="4" borderId="0" xfId="0" applyFont="1" applyFill="1" applyBorder="1" applyAlignment="1" applyProtection="1">
      <alignment/>
      <protection/>
    </xf>
    <xf numFmtId="164" fontId="1" fillId="4" borderId="0" xfId="0" applyNumberFormat="1" applyFont="1" applyFill="1" applyBorder="1" applyProtection="1">
      <protection/>
    </xf>
    <xf numFmtId="10" fontId="1" fillId="4" borderId="0" xfId="21" applyNumberFormat="1" applyFont="1" applyFill="1" applyBorder="1" applyProtection="1">
      <protection/>
    </xf>
    <xf numFmtId="0" fontId="2" fillId="4" borderId="24" xfId="0" applyFont="1" applyFill="1" applyBorder="1" applyAlignment="1" applyProtection="1">
      <alignment wrapText="1"/>
      <protection/>
    </xf>
    <xf numFmtId="0" fontId="2" fillId="4" borderId="18" xfId="0" applyFont="1" applyFill="1" applyBorder="1" applyAlignment="1" applyProtection="1">
      <alignment wrapText="1"/>
      <protection/>
    </xf>
    <xf numFmtId="0" fontId="2" fillId="4" borderId="18" xfId="0" applyFont="1" applyFill="1" applyBorder="1" applyProtection="1">
      <protection/>
    </xf>
    <xf numFmtId="0" fontId="0" fillId="4" borderId="24" xfId="0" applyFill="1" applyBorder="1" applyAlignment="1" applyProtection="1">
      <alignment horizontal="right"/>
      <protection/>
    </xf>
    <xf numFmtId="3" fontId="0" fillId="16" borderId="60" xfId="0" applyNumberFormat="1" applyFill="1" applyBorder="1" applyAlignment="1" applyProtection="1">
      <alignment vertical="center"/>
      <protection locked="0"/>
    </xf>
    <xf numFmtId="165" fontId="0" fillId="16" borderId="29" xfId="0" applyNumberFormat="1" applyFill="1" applyBorder="1" applyAlignment="1" applyProtection="1">
      <alignment horizontal="right" indent="1"/>
      <protection locked="0"/>
    </xf>
    <xf numFmtId="165" fontId="0" fillId="16" borderId="24" xfId="0" applyNumberFormat="1" applyFill="1" applyBorder="1" applyAlignment="1" applyProtection="1">
      <alignment horizontal="right" indent="1"/>
      <protection locked="0"/>
    </xf>
    <xf numFmtId="169" fontId="1" fillId="16" borderId="93" xfId="0" applyNumberFormat="1" applyFont="1" applyFill="1" applyBorder="1" applyAlignment="1" applyProtection="1">
      <alignment horizontal="right" vertical="center"/>
      <protection locked="0"/>
    </xf>
    <xf numFmtId="169" fontId="1" fillId="16" borderId="95" xfId="0" applyNumberFormat="1" applyFont="1" applyFill="1" applyBorder="1" applyAlignment="1" applyProtection="1">
      <alignment horizontal="right" vertical="center"/>
      <protection locked="0"/>
    </xf>
    <xf numFmtId="169" fontId="1" fillId="16" borderId="96" xfId="0" applyNumberFormat="1" applyFont="1" applyFill="1" applyBorder="1" applyAlignment="1" applyProtection="1">
      <alignment horizontal="right" vertical="center"/>
      <protection locked="0"/>
    </xf>
    <xf numFmtId="169" fontId="0" fillId="16" borderId="94" xfId="0" applyNumberFormat="1" applyFill="1" applyBorder="1" applyAlignment="1" applyProtection="1">
      <alignment horizontal="right" vertical="center"/>
      <protection locked="0"/>
    </xf>
    <xf numFmtId="169" fontId="0" fillId="16" borderId="95" xfId="0" applyNumberFormat="1" applyFill="1" applyBorder="1" applyAlignment="1" applyProtection="1">
      <alignment horizontal="right" vertical="center"/>
      <protection locked="0"/>
    </xf>
    <xf numFmtId="169" fontId="0" fillId="16" borderId="96" xfId="0" applyNumberFormat="1" applyFill="1" applyBorder="1" applyAlignment="1" applyProtection="1">
      <alignment horizontal="right" vertical="center"/>
      <protection locked="0"/>
    </xf>
    <xf numFmtId="0" fontId="22" fillId="4" borderId="101" xfId="22" applyFont="1" applyFill="1" applyBorder="1" applyAlignment="1">
      <alignment horizontal="left" wrapText="1"/>
      <protection/>
    </xf>
    <xf numFmtId="0" fontId="22" fillId="4" borderId="92" xfId="22" applyFont="1" applyFill="1" applyBorder="1" applyAlignment="1">
      <alignment horizontal="left" wrapText="1"/>
      <protection/>
    </xf>
    <xf numFmtId="0" fontId="22" fillId="4" borderId="102" xfId="22" applyFont="1" applyFill="1" applyBorder="1" applyAlignment="1">
      <alignment horizontal="left" wrapText="1"/>
      <protection/>
    </xf>
    <xf numFmtId="0" fontId="25" fillId="4" borderId="85" xfId="22" applyFont="1" applyFill="1" applyBorder="1" applyAlignment="1">
      <alignment horizontal="left" wrapText="1"/>
      <protection/>
    </xf>
    <xf numFmtId="0" fontId="25" fillId="4" borderId="0" xfId="22" applyFont="1" applyFill="1" applyBorder="1" applyAlignment="1">
      <alignment horizontal="left" wrapText="1"/>
      <protection/>
    </xf>
    <xf numFmtId="0" fontId="25" fillId="4" borderId="66" xfId="22" applyFont="1" applyFill="1" applyBorder="1" applyAlignment="1">
      <alignment horizontal="left" wrapText="1"/>
      <protection/>
    </xf>
    <xf numFmtId="0" fontId="25" fillId="4" borderId="89" xfId="22" applyFont="1" applyFill="1" applyBorder="1" applyAlignment="1">
      <alignment horizontal="left" wrapText="1"/>
      <protection/>
    </xf>
    <xf numFmtId="0" fontId="25" fillId="4" borderId="63" xfId="22" applyFont="1" applyFill="1" applyBorder="1" applyAlignment="1">
      <alignment horizontal="left" wrapText="1"/>
      <protection/>
    </xf>
    <xf numFmtId="0" fontId="25" fillId="4" borderId="68" xfId="22" applyFont="1" applyFill="1" applyBorder="1" applyAlignment="1">
      <alignment horizontal="left" wrapText="1"/>
      <protection/>
    </xf>
    <xf numFmtId="0" fontId="21" fillId="4" borderId="89" xfId="22" applyFont="1" applyFill="1" applyBorder="1" applyAlignment="1">
      <alignment horizontal="left" wrapText="1"/>
      <protection/>
    </xf>
    <xf numFmtId="0" fontId="21" fillId="4" borderId="63" xfId="22" applyFont="1" applyFill="1" applyBorder="1" applyAlignment="1">
      <alignment horizontal="left" wrapText="1"/>
      <protection/>
    </xf>
    <xf numFmtId="0" fontId="21" fillId="4" borderId="68" xfId="22" applyFont="1" applyFill="1" applyBorder="1" applyAlignment="1">
      <alignment horizontal="left" wrapText="1"/>
      <protection/>
    </xf>
    <xf numFmtId="0" fontId="22" fillId="4" borderId="85" xfId="22" applyFont="1" applyFill="1" applyBorder="1" applyAlignment="1">
      <alignment horizontal="left" wrapText="1"/>
      <protection/>
    </xf>
    <xf numFmtId="0" fontId="22" fillId="4" borderId="0" xfId="22" applyFont="1" applyFill="1" applyBorder="1" applyAlignment="1">
      <alignment horizontal="left" wrapText="1"/>
      <protection/>
    </xf>
    <xf numFmtId="0" fontId="22" fillId="4" borderId="66" xfId="22" applyFont="1" applyFill="1" applyBorder="1" applyAlignment="1">
      <alignment horizontal="left" wrapText="1"/>
      <protection/>
    </xf>
    <xf numFmtId="0" fontId="21" fillId="4" borderId="85" xfId="22" applyFont="1" applyFill="1" applyBorder="1" applyAlignment="1">
      <alignment horizontal="left" wrapText="1"/>
      <protection/>
    </xf>
    <xf numFmtId="0" fontId="21" fillId="4" borderId="0" xfId="22" applyFont="1" applyFill="1" applyBorder="1" applyAlignment="1">
      <alignment horizontal="left" wrapText="1"/>
      <protection/>
    </xf>
    <xf numFmtId="0" fontId="21" fillId="4" borderId="66" xfId="22" applyFont="1" applyFill="1" applyBorder="1" applyAlignment="1">
      <alignment horizontal="left" wrapText="1"/>
      <protection/>
    </xf>
    <xf numFmtId="0" fontId="23" fillId="0" borderId="0" xfId="22" applyFont="1" applyFill="1" applyBorder="1" applyAlignment="1">
      <alignment horizontal="left" vertical="top" wrapText="1"/>
      <protection/>
    </xf>
    <xf numFmtId="0" fontId="21" fillId="0" borderId="0" xfId="22" applyFont="1" applyFill="1" applyBorder="1" applyAlignment="1">
      <alignment horizontal="left" vertical="top" wrapText="1"/>
      <protection/>
    </xf>
    <xf numFmtId="0" fontId="28" fillId="4" borderId="85" xfId="23" applyFill="1" applyBorder="1" applyAlignment="1" applyProtection="1">
      <alignment horizontal="left" wrapText="1"/>
      <protection/>
    </xf>
    <xf numFmtId="0" fontId="28" fillId="4" borderId="0" xfId="23" applyFill="1" applyBorder="1" applyAlignment="1" applyProtection="1">
      <alignment horizontal="left" wrapText="1"/>
      <protection/>
    </xf>
    <xf numFmtId="0" fontId="28" fillId="4" borderId="66" xfId="23" applyFill="1" applyBorder="1" applyAlignment="1" applyProtection="1">
      <alignment horizontal="left" wrapText="1"/>
      <protection/>
    </xf>
    <xf numFmtId="0" fontId="23" fillId="0" borderId="0" xfId="22" applyFont="1" applyFill="1" applyBorder="1" applyAlignment="1">
      <alignment vertical="distributed" wrapText="1"/>
      <protection/>
    </xf>
    <xf numFmtId="0" fontId="22" fillId="4" borderId="92" xfId="22" applyFont="1" applyFill="1" applyBorder="1" applyAlignment="1">
      <alignment horizontal="center" wrapText="1"/>
      <protection/>
    </xf>
    <xf numFmtId="14" fontId="21" fillId="4" borderId="0" xfId="22" applyNumberFormat="1" applyFont="1" applyFill="1" applyBorder="1" applyAlignment="1">
      <alignment horizontal="left" wrapText="1"/>
      <protection/>
    </xf>
    <xf numFmtId="14" fontId="21" fillId="4" borderId="0" xfId="22" applyNumberFormat="1" applyFont="1" applyFill="1" applyBorder="1" applyAlignment="1">
      <alignment horizontal="center" wrapText="1"/>
      <protection/>
    </xf>
    <xf numFmtId="0" fontId="22" fillId="4" borderId="85" xfId="22" applyFont="1" applyFill="1" applyBorder="1" applyAlignment="1">
      <alignment wrapText="1"/>
      <protection/>
    </xf>
    <xf numFmtId="0" fontId="22" fillId="4" borderId="0" xfId="22" applyFont="1" applyFill="1" applyBorder="1" applyAlignment="1">
      <alignment wrapText="1"/>
      <protection/>
    </xf>
    <xf numFmtId="0" fontId="22" fillId="4" borderId="66" xfId="22" applyFont="1" applyFill="1" applyBorder="1" applyAlignment="1">
      <alignment wrapText="1"/>
      <protection/>
    </xf>
    <xf numFmtId="0" fontId="22" fillId="4" borderId="0" xfId="22" applyFont="1" applyFill="1" applyBorder="1" applyAlignment="1">
      <alignment horizontal="center" wrapText="1"/>
      <protection/>
    </xf>
    <xf numFmtId="0" fontId="22" fillId="4" borderId="101" xfId="22" applyFont="1" applyFill="1" applyBorder="1" applyAlignment="1">
      <alignment horizontal="left"/>
      <protection/>
    </xf>
    <xf numFmtId="0" fontId="22" fillId="4" borderId="92" xfId="22" applyFont="1" applyFill="1" applyBorder="1" applyAlignment="1">
      <alignment horizontal="left"/>
      <protection/>
    </xf>
    <xf numFmtId="0" fontId="22" fillId="4" borderId="102" xfId="22" applyFont="1" applyFill="1" applyBorder="1" applyAlignment="1">
      <alignment horizontal="left"/>
      <protection/>
    </xf>
    <xf numFmtId="0" fontId="21" fillId="4" borderId="91" xfId="22" applyFont="1" applyFill="1" applyBorder="1" applyAlignment="1">
      <alignment horizontal="center"/>
      <protection/>
    </xf>
    <xf numFmtId="0" fontId="21" fillId="4" borderId="63" xfId="22" applyFont="1" applyFill="1" applyBorder="1" applyAlignment="1">
      <alignment horizontal="center"/>
      <protection/>
    </xf>
    <xf numFmtId="0" fontId="21" fillId="4" borderId="0" xfId="22" applyFont="1" applyFill="1" applyBorder="1" applyAlignment="1">
      <alignment horizontal="left"/>
      <protection/>
    </xf>
    <xf numFmtId="0" fontId="22" fillId="4" borderId="18" xfId="22" applyFont="1" applyFill="1" applyBorder="1" applyAlignment="1">
      <alignment horizontal="left"/>
      <protection/>
    </xf>
    <xf numFmtId="0" fontId="24" fillId="4" borderId="26" xfId="22" applyFont="1" applyFill="1" applyBorder="1" applyAlignment="1">
      <alignment horizontal="left" vertical="top" wrapText="1"/>
      <protection/>
    </xf>
    <xf numFmtId="0" fontId="25" fillId="4" borderId="26" xfId="22" applyFont="1" applyFill="1" applyBorder="1" applyAlignment="1">
      <alignment horizontal="left" vertical="top" wrapText="1"/>
      <protection/>
    </xf>
    <xf numFmtId="0" fontId="25" fillId="4" borderId="108" xfId="22" applyFont="1" applyFill="1" applyBorder="1" applyAlignment="1">
      <alignment horizontal="left" vertical="top" wrapText="1"/>
      <protection/>
    </xf>
    <xf numFmtId="0" fontId="22" fillId="4" borderId="31" xfId="22" applyFont="1" applyFill="1" applyBorder="1" applyAlignment="1">
      <alignment horizontal="left"/>
      <protection/>
    </xf>
    <xf numFmtId="0" fontId="21" fillId="4" borderId="33" xfId="22" applyFont="1" applyFill="1" applyBorder="1" applyAlignment="1">
      <alignment horizontal="left"/>
      <protection/>
    </xf>
    <xf numFmtId="0" fontId="2" fillId="4" borderId="7" xfId="0" applyFont="1" applyFill="1" applyBorder="1" applyAlignment="1" applyProtection="1">
      <alignment horizontal="center" wrapText="1"/>
      <protection/>
    </xf>
    <xf numFmtId="0" fontId="0" fillId="0" borderId="12" xfId="0" applyBorder="1" applyAlignment="1" applyProtection="1">
      <alignment horizontal="center" wrapText="1"/>
      <protection/>
    </xf>
    <xf numFmtId="0" fontId="2" fillId="4" borderId="50" xfId="0" applyFont="1" applyFill="1" applyBorder="1" applyAlignment="1" applyProtection="1">
      <alignment horizontal="center" wrapText="1"/>
      <protection/>
    </xf>
    <xf numFmtId="0" fontId="0" fillId="0" borderId="109" xfId="0" applyBorder="1" applyAlignment="1" applyProtection="1">
      <alignment horizontal="center" wrapText="1"/>
      <protection/>
    </xf>
    <xf numFmtId="0" fontId="0" fillId="0" borderId="33" xfId="0" applyBorder="1" applyAlignment="1" applyProtection="1">
      <alignment horizontal="center" wrapText="1"/>
      <protection/>
    </xf>
    <xf numFmtId="0" fontId="0" fillId="0" borderId="34" xfId="0" applyBorder="1" applyAlignment="1" applyProtection="1">
      <alignment horizontal="center" wrapText="1"/>
      <protection/>
    </xf>
    <xf numFmtId="0" fontId="2" fillId="4" borderId="8" xfId="0" applyFont="1" applyFill="1" applyBorder="1" applyAlignment="1" applyProtection="1">
      <alignment horizontal="center" wrapText="1"/>
      <protection/>
    </xf>
    <xf numFmtId="0" fontId="0" fillId="0" borderId="13" xfId="0" applyBorder="1" applyAlignment="1" applyProtection="1">
      <alignment horizontal="center" wrapText="1"/>
      <protection/>
    </xf>
    <xf numFmtId="0" fontId="2" fillId="3" borderId="8" xfId="0" applyFont="1" applyFill="1" applyBorder="1" applyAlignment="1" applyProtection="1">
      <alignment horizontal="center" wrapText="1"/>
      <protection/>
    </xf>
    <xf numFmtId="0" fontId="0" fillId="4" borderId="61" xfId="0" applyFill="1" applyBorder="1" applyAlignment="1" applyProtection="1">
      <alignment horizontal="left" wrapText="1"/>
      <protection/>
    </xf>
    <xf numFmtId="0" fontId="0" fillId="0" borderId="32" xfId="0" applyBorder="1" applyAlignment="1" applyProtection="1">
      <alignment horizontal="left" wrapText="1"/>
      <protection/>
    </xf>
    <xf numFmtId="0" fontId="2" fillId="4" borderId="51" xfId="0" applyFont="1" applyFill="1" applyBorder="1" applyAlignment="1" applyProtection="1">
      <alignment horizontal="center" wrapText="1"/>
      <protection/>
    </xf>
    <xf numFmtId="0" fontId="0" fillId="0" borderId="110" xfId="0" applyBorder="1" applyAlignment="1" applyProtection="1">
      <alignment horizontal="center" wrapText="1"/>
      <protection/>
    </xf>
    <xf numFmtId="0" fontId="0" fillId="4" borderId="49" xfId="0" applyFill="1" applyBorder="1" applyAlignment="1" applyProtection="1">
      <alignment horizontal="center" wrapText="1"/>
      <protection/>
    </xf>
    <xf numFmtId="0" fontId="0" fillId="0" borderId="111" xfId="0" applyBorder="1" applyAlignment="1" applyProtection="1">
      <alignment horizontal="center" wrapText="1"/>
      <protection/>
    </xf>
    <xf numFmtId="0" fontId="0" fillId="4" borderId="112" xfId="0" applyFill="1" applyBorder="1" applyAlignment="1" applyProtection="1">
      <alignment horizontal="left" wrapText="1"/>
      <protection/>
    </xf>
    <xf numFmtId="0" fontId="0" fillId="0" borderId="113" xfId="0" applyBorder="1" applyAlignment="1" applyProtection="1">
      <alignment horizontal="left" wrapText="1"/>
      <protection/>
    </xf>
    <xf numFmtId="0" fontId="0" fillId="4" borderId="33" xfId="0" applyFill="1" applyBorder="1" applyAlignment="1" applyProtection="1">
      <alignment horizontal="left" wrapText="1"/>
      <protection/>
    </xf>
    <xf numFmtId="0" fontId="0" fillId="0" borderId="34" xfId="0" applyBorder="1" applyAlignment="1" applyProtection="1">
      <alignment horizontal="left" wrapText="1"/>
      <protection/>
    </xf>
    <xf numFmtId="0" fontId="0" fillId="4" borderId="29" xfId="0" applyFill="1" applyBorder="1" applyAlignment="1" applyProtection="1">
      <alignment horizontal="left" wrapText="1"/>
      <protection/>
    </xf>
    <xf numFmtId="0" fontId="0" fillId="0" borderId="30" xfId="0" applyBorder="1" applyAlignment="1" applyProtection="1">
      <alignment horizontal="left" wrapText="1"/>
      <protection/>
    </xf>
    <xf numFmtId="0" fontId="0" fillId="4" borderId="24" xfId="0" applyFill="1" applyBorder="1" applyAlignment="1" applyProtection="1">
      <alignment horizontal="left" wrapText="1"/>
      <protection/>
    </xf>
    <xf numFmtId="0" fontId="0" fillId="0" borderId="18" xfId="0" applyBorder="1" applyAlignment="1" applyProtection="1">
      <alignment horizontal="left" wrapText="1"/>
      <protection/>
    </xf>
    <xf numFmtId="0" fontId="0" fillId="0" borderId="18" xfId="0" applyBorder="1" applyAlignment="1" applyProtection="1">
      <alignment wrapText="1"/>
      <protection/>
    </xf>
    <xf numFmtId="0" fontId="0" fillId="0" borderId="25" xfId="0" applyBorder="1" applyAlignment="1" applyProtection="1">
      <alignment wrapText="1"/>
      <protection/>
    </xf>
    <xf numFmtId="0" fontId="0" fillId="4" borderId="27" xfId="0" applyFill="1" applyBorder="1" applyAlignment="1" applyProtection="1">
      <alignment horizontal="left" wrapText="1"/>
      <protection/>
    </xf>
    <xf numFmtId="0" fontId="0" fillId="0" borderId="19" xfId="0" applyBorder="1" applyAlignment="1" applyProtection="1">
      <alignment horizontal="left" wrapText="1"/>
      <protection/>
    </xf>
    <xf numFmtId="0" fontId="0" fillId="4" borderId="114" xfId="0" applyFill="1" applyBorder="1" applyAlignment="1" applyProtection="1">
      <alignment wrapText="1"/>
      <protection/>
    </xf>
    <xf numFmtId="0" fontId="0" fillId="0" borderId="83" xfId="0" applyBorder="1" applyAlignment="1" applyProtection="1">
      <alignment wrapText="1"/>
      <protection/>
    </xf>
    <xf numFmtId="0" fontId="0" fillId="0" borderId="105" xfId="0" applyBorder="1" applyAlignment="1" applyProtection="1">
      <alignment wrapText="1"/>
      <protection/>
    </xf>
    <xf numFmtId="9" fontId="12" fillId="15" borderId="115" xfId="0" applyNumberFormat="1" applyFont="1" applyFill="1" applyBorder="1" applyAlignment="1" applyProtection="1">
      <alignment horizontal="right" vertical="center"/>
      <protection/>
    </xf>
    <xf numFmtId="9" fontId="12" fillId="15" borderId="116" xfId="0" applyNumberFormat="1" applyFont="1" applyFill="1" applyBorder="1" applyAlignment="1" applyProtection="1">
      <alignment horizontal="right" vertical="center"/>
      <protection/>
    </xf>
    <xf numFmtId="9" fontId="12" fillId="15" borderId="14" xfId="0" applyNumberFormat="1" applyFont="1" applyFill="1" applyBorder="1" applyAlignment="1" applyProtection="1">
      <alignment horizontal="right" vertical="center"/>
      <protection/>
    </xf>
    <xf numFmtId="9" fontId="12" fillId="15" borderId="57" xfId="0" applyNumberFormat="1" applyFont="1" applyFill="1" applyBorder="1" applyAlignment="1" applyProtection="1">
      <alignment horizontal="right" vertical="center"/>
      <protection/>
    </xf>
    <xf numFmtId="9" fontId="12" fillId="15" borderId="21" xfId="0" applyNumberFormat="1" applyFont="1" applyFill="1" applyBorder="1" applyAlignment="1" applyProtection="1">
      <alignment horizontal="right" vertical="center"/>
      <protection/>
    </xf>
    <xf numFmtId="9" fontId="12" fillId="15" borderId="59" xfId="0" applyNumberFormat="1" applyFont="1" applyFill="1" applyBorder="1" applyAlignment="1" applyProtection="1">
      <alignment horizontal="right" vertical="center"/>
      <protection/>
    </xf>
    <xf numFmtId="0" fontId="2" fillId="3" borderId="117" xfId="0" applyFont="1" applyFill="1" applyBorder="1" applyAlignment="1" applyProtection="1">
      <alignment horizontal="center" vertical="center"/>
      <protection/>
    </xf>
    <xf numFmtId="0" fontId="2" fillId="3" borderId="118" xfId="0" applyFont="1" applyFill="1" applyBorder="1" applyAlignment="1" applyProtection="1">
      <alignment horizontal="center" vertical="center"/>
      <protection/>
    </xf>
    <xf numFmtId="0" fontId="2" fillId="0" borderId="119" xfId="0" applyFont="1" applyFill="1" applyBorder="1" applyAlignment="1" applyProtection="1">
      <alignment horizontal="left" vertical="center" wrapText="1"/>
      <protection/>
    </xf>
    <xf numFmtId="0" fontId="0" fillId="0" borderId="113" xfId="0" applyBorder="1" applyAlignment="1" applyProtection="1">
      <alignment horizontal="left" vertical="center" wrapText="1"/>
      <protection/>
    </xf>
    <xf numFmtId="0" fontId="2" fillId="0" borderId="120" xfId="0" applyFont="1" applyFill="1"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2" fillId="0" borderId="87" xfId="0" applyFont="1" applyFill="1"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2" fillId="0" borderId="85" xfId="0" applyFont="1" applyFill="1" applyBorder="1" applyAlignment="1" applyProtection="1">
      <alignment horizontal="left" vertical="center" wrapText="1"/>
      <protection/>
    </xf>
    <xf numFmtId="0" fontId="0" fillId="0" borderId="34" xfId="0" applyBorder="1" applyAlignment="1" applyProtection="1">
      <alignment horizontal="left" vertical="center" wrapText="1"/>
      <protection/>
    </xf>
    <xf numFmtId="1" fontId="2" fillId="0" borderId="87" xfId="0" applyNumberFormat="1" applyFont="1" applyFill="1" applyBorder="1" applyAlignment="1" applyProtection="1">
      <alignment horizontal="left" vertical="center" wrapText="1"/>
      <protection/>
    </xf>
    <xf numFmtId="1" fontId="2" fillId="0" borderId="120" xfId="0" applyNumberFormat="1" applyFont="1" applyFill="1" applyBorder="1" applyAlignment="1" applyProtection="1">
      <alignment horizontal="left" vertical="center" wrapText="1"/>
      <protection/>
    </xf>
    <xf numFmtId="1" fontId="2" fillId="0" borderId="89" xfId="0" applyNumberFormat="1" applyFont="1" applyFill="1" applyBorder="1" applyAlignment="1" applyProtection="1">
      <alignment horizontal="left" vertical="center" wrapText="1"/>
      <protection/>
    </xf>
    <xf numFmtId="0" fontId="0" fillId="0" borderId="90" xfId="0" applyBorder="1" applyAlignment="1" applyProtection="1">
      <alignment horizontal="left" vertical="center" wrapText="1"/>
      <protection/>
    </xf>
    <xf numFmtId="0" fontId="0" fillId="4" borderId="24" xfId="0" applyFill="1" applyBorder="1" applyAlignment="1" applyProtection="1">
      <alignment wrapText="1"/>
      <protection/>
    </xf>
    <xf numFmtId="0" fontId="0" fillId="4" borderId="27" xfId="0" applyFill="1" applyBorder="1" applyAlignment="1" applyProtection="1">
      <alignment wrapText="1"/>
      <protection/>
    </xf>
    <xf numFmtId="0" fontId="0" fillId="0" borderId="19" xfId="0" applyBorder="1" applyAlignment="1" applyProtection="1">
      <alignment wrapText="1"/>
      <protection/>
    </xf>
    <xf numFmtId="0" fontId="2" fillId="3" borderId="50" xfId="0" applyFont="1" applyFill="1" applyBorder="1" applyAlignment="1" applyProtection="1">
      <alignment horizontal="center" vertical="center"/>
      <protection/>
    </xf>
    <xf numFmtId="0" fontId="2" fillId="3" borderId="49" xfId="0" applyFont="1" applyFill="1" applyBorder="1" applyAlignment="1" applyProtection="1">
      <alignment horizontal="center" vertical="center"/>
      <protection/>
    </xf>
    <xf numFmtId="0" fontId="2" fillId="3" borderId="121" xfId="0" applyFont="1" applyFill="1" applyBorder="1" applyAlignment="1" applyProtection="1">
      <alignment horizontal="center"/>
      <protection/>
    </xf>
    <xf numFmtId="0" fontId="2" fillId="3" borderId="83" xfId="0" applyFont="1" applyFill="1" applyBorder="1" applyAlignment="1" applyProtection="1">
      <alignment horizontal="center"/>
      <protection/>
    </xf>
    <xf numFmtId="0" fontId="2" fillId="3" borderId="84" xfId="0" applyFont="1" applyFill="1" applyBorder="1" applyAlignment="1" applyProtection="1">
      <alignment horizontal="center"/>
      <protection/>
    </xf>
    <xf numFmtId="0" fontId="2" fillId="3" borderId="101" xfId="0" applyFont="1" applyFill="1" applyBorder="1" applyAlignment="1" applyProtection="1">
      <alignment vertical="center"/>
      <protection/>
    </xf>
    <xf numFmtId="0" fontId="0" fillId="0" borderId="109" xfId="0" applyBorder="1" applyAlignment="1" applyProtection="1">
      <alignment vertical="center"/>
      <protection/>
    </xf>
    <xf numFmtId="0" fontId="2" fillId="3" borderId="122" xfId="0" applyFont="1" applyFill="1" applyBorder="1" applyAlignment="1" applyProtection="1">
      <alignment vertical="center"/>
      <protection/>
    </xf>
    <xf numFmtId="0" fontId="0" fillId="0" borderId="111" xfId="0" applyBorder="1" applyAlignment="1" applyProtection="1">
      <alignment vertical="center"/>
      <protection/>
    </xf>
    <xf numFmtId="0" fontId="2" fillId="4" borderId="48" xfId="0" applyFont="1" applyFill="1"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0" fontId="0" fillId="4" borderId="24" xfId="0" applyFill="1" applyBorder="1" applyAlignment="1">
      <alignment horizontal="left" wrapText="1"/>
    </xf>
    <xf numFmtId="0" fontId="0" fillId="0" borderId="18" xfId="0" applyBorder="1" applyAlignment="1">
      <alignment horizontal="left" wrapText="1"/>
    </xf>
    <xf numFmtId="0" fontId="2" fillId="0" borderId="119" xfId="0" applyFont="1" applyFill="1" applyBorder="1" applyAlignment="1">
      <alignment horizontal="left" vertical="center" wrapText="1"/>
    </xf>
    <xf numFmtId="0" fontId="0" fillId="0" borderId="113" xfId="0" applyBorder="1" applyAlignment="1">
      <alignment horizontal="left" vertical="center" wrapText="1"/>
    </xf>
    <xf numFmtId="0" fontId="2" fillId="0" borderId="120" xfId="0" applyFont="1" applyFill="1" applyBorder="1" applyAlignment="1">
      <alignment horizontal="left" vertical="center" wrapText="1"/>
    </xf>
    <xf numFmtId="0" fontId="0" fillId="0" borderId="30" xfId="0" applyBorder="1" applyAlignment="1">
      <alignment horizontal="left" vertical="center" wrapText="1"/>
    </xf>
    <xf numFmtId="0" fontId="2" fillId="4" borderId="8" xfId="0" applyFont="1" applyFill="1" applyBorder="1" applyAlignment="1">
      <alignment horizontal="center" wrapText="1"/>
    </xf>
    <xf numFmtId="0" fontId="0" fillId="0" borderId="13" xfId="0" applyBorder="1" applyAlignment="1">
      <alignment horizontal="center" wrapText="1"/>
    </xf>
    <xf numFmtId="0" fontId="2" fillId="4" borderId="7" xfId="0" applyFont="1" applyFill="1" applyBorder="1" applyAlignment="1">
      <alignment horizontal="center" wrapText="1"/>
    </xf>
    <xf numFmtId="0" fontId="0" fillId="0" borderId="12" xfId="0" applyBorder="1" applyAlignment="1">
      <alignment horizontal="center" wrapText="1"/>
    </xf>
    <xf numFmtId="0" fontId="2" fillId="4" borderId="50" xfId="0" applyFont="1" applyFill="1" applyBorder="1" applyAlignment="1">
      <alignment horizontal="center" wrapText="1"/>
    </xf>
    <xf numFmtId="0" fontId="0" fillId="0" borderId="109"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2" fillId="3" borderId="8" xfId="0" applyFont="1" applyFill="1" applyBorder="1" applyAlignment="1">
      <alignment horizontal="center" wrapText="1"/>
    </xf>
    <xf numFmtId="0" fontId="0" fillId="4" borderId="49" xfId="0" applyFill="1" applyBorder="1" applyAlignment="1">
      <alignment horizontal="center" wrapText="1"/>
    </xf>
    <xf numFmtId="0" fontId="0" fillId="0" borderId="111" xfId="0" applyBorder="1" applyAlignment="1">
      <alignment horizontal="center" wrapText="1"/>
    </xf>
    <xf numFmtId="0" fontId="0" fillId="4" borderId="112" xfId="0" applyFill="1" applyBorder="1" applyAlignment="1">
      <alignment horizontal="left" wrapText="1"/>
    </xf>
    <xf numFmtId="0" fontId="0" fillId="0" borderId="113" xfId="0" applyBorder="1" applyAlignment="1">
      <alignment horizontal="left" wrapText="1"/>
    </xf>
    <xf numFmtId="0" fontId="0" fillId="4" borderId="33" xfId="0" applyFill="1" applyBorder="1" applyAlignment="1">
      <alignment horizontal="left" wrapText="1"/>
    </xf>
    <xf numFmtId="0" fontId="0" fillId="0" borderId="34" xfId="0" applyBorder="1" applyAlignment="1">
      <alignment horizontal="left" wrapText="1"/>
    </xf>
    <xf numFmtId="0" fontId="2" fillId="3" borderId="101" xfId="0" applyFont="1" applyFill="1" applyBorder="1" applyAlignment="1">
      <alignment vertical="center"/>
    </xf>
    <xf numFmtId="0" fontId="0" fillId="0" borderId="109" xfId="0" applyBorder="1" applyAlignment="1">
      <alignment vertical="center"/>
    </xf>
    <xf numFmtId="0" fontId="2" fillId="3" borderId="122" xfId="0" applyFont="1" applyFill="1" applyBorder="1" applyAlignment="1">
      <alignment vertical="center"/>
    </xf>
    <xf numFmtId="0" fontId="0" fillId="0" borderId="111" xfId="0" applyBorder="1" applyAlignment="1">
      <alignment vertical="center"/>
    </xf>
    <xf numFmtId="0" fontId="0" fillId="4" borderId="27" xfId="0" applyFill="1" applyBorder="1" applyAlignment="1">
      <alignment horizontal="left" wrapText="1"/>
    </xf>
    <xf numFmtId="0" fontId="0" fillId="0" borderId="19" xfId="0" applyBorder="1" applyAlignment="1">
      <alignment horizontal="left" wrapText="1"/>
    </xf>
    <xf numFmtId="1" fontId="2" fillId="0" borderId="87" xfId="0" applyNumberFormat="1" applyFont="1" applyFill="1" applyBorder="1" applyAlignment="1">
      <alignment horizontal="left" vertical="center" wrapText="1"/>
    </xf>
    <xf numFmtId="0" fontId="0" fillId="0" borderId="32" xfId="0" applyBorder="1" applyAlignment="1">
      <alignment horizontal="left" vertical="center" wrapText="1"/>
    </xf>
    <xf numFmtId="1" fontId="2" fillId="0" borderId="89" xfId="0" applyNumberFormat="1" applyFont="1" applyFill="1" applyBorder="1" applyAlignment="1">
      <alignment horizontal="left" vertical="center" wrapText="1"/>
    </xf>
    <xf numFmtId="0" fontId="0" fillId="0" borderId="90" xfId="0" applyBorder="1" applyAlignment="1">
      <alignment horizontal="left" vertical="center" wrapText="1"/>
    </xf>
    <xf numFmtId="0" fontId="2" fillId="3" borderId="50" xfId="0" applyFont="1" applyFill="1" applyBorder="1" applyAlignment="1">
      <alignment horizontal="center" vertical="center"/>
    </xf>
    <xf numFmtId="0" fontId="2" fillId="3" borderId="49" xfId="0" applyFont="1" applyFill="1" applyBorder="1" applyAlignment="1">
      <alignment horizontal="center" vertical="center"/>
    </xf>
    <xf numFmtId="0" fontId="0" fillId="4" borderId="61" xfId="0" applyFill="1" applyBorder="1" applyAlignment="1">
      <alignment horizontal="left" wrapText="1"/>
    </xf>
    <xf numFmtId="0" fontId="0" fillId="0" borderId="32" xfId="0" applyBorder="1" applyAlignment="1">
      <alignment horizontal="left" wrapText="1"/>
    </xf>
    <xf numFmtId="0" fontId="0" fillId="4" borderId="29" xfId="0" applyFill="1" applyBorder="1" applyAlignment="1">
      <alignment horizontal="left" wrapText="1"/>
    </xf>
    <xf numFmtId="0" fontId="0" fillId="0" borderId="30" xfId="0" applyBorder="1" applyAlignment="1">
      <alignment horizontal="left" wrapText="1"/>
    </xf>
    <xf numFmtId="1" fontId="2" fillId="0" borderId="120" xfId="0" applyNumberFormat="1"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85" xfId="0" applyFont="1" applyFill="1" applyBorder="1" applyAlignment="1">
      <alignment horizontal="left" vertical="center" wrapText="1"/>
    </xf>
    <xf numFmtId="0" fontId="0" fillId="0" borderId="34" xfId="0" applyBorder="1" applyAlignment="1">
      <alignment horizontal="left" vertical="center" wrapText="1"/>
    </xf>
    <xf numFmtId="0" fontId="2" fillId="3" borderId="121" xfId="0" applyFont="1" applyFill="1" applyBorder="1" applyAlignment="1">
      <alignment horizontal="center"/>
    </xf>
    <xf numFmtId="0" fontId="2" fillId="3" borderId="83" xfId="0" applyFont="1" applyFill="1" applyBorder="1" applyAlignment="1">
      <alignment horizontal="center"/>
    </xf>
    <xf numFmtId="0" fontId="2" fillId="3" borderId="84" xfId="0" applyFont="1" applyFill="1" applyBorder="1" applyAlignment="1">
      <alignment horizontal="center"/>
    </xf>
    <xf numFmtId="0" fontId="0" fillId="4" borderId="24" xfId="0" applyFill="1" applyBorder="1" applyAlignment="1">
      <alignment wrapText="1"/>
    </xf>
    <xf numFmtId="0" fontId="0" fillId="0" borderId="18" xfId="0" applyBorder="1" applyAlignment="1">
      <alignment wrapText="1"/>
    </xf>
    <xf numFmtId="0" fontId="0" fillId="4" borderId="27" xfId="0" applyFill="1" applyBorder="1" applyAlignment="1">
      <alignment wrapText="1"/>
    </xf>
    <xf numFmtId="0" fontId="0" fillId="0" borderId="19" xfId="0" applyBorder="1" applyAlignment="1">
      <alignment wrapText="1"/>
    </xf>
    <xf numFmtId="0" fontId="0" fillId="0" borderId="25" xfId="0" applyBorder="1" applyAlignment="1">
      <alignment wrapText="1"/>
    </xf>
    <xf numFmtId="0" fontId="0" fillId="4" borderId="114" xfId="0" applyFill="1" applyBorder="1" applyAlignment="1">
      <alignment wrapText="1"/>
    </xf>
    <xf numFmtId="0" fontId="0" fillId="0" borderId="83" xfId="0" applyBorder="1" applyAlignment="1">
      <alignment wrapText="1"/>
    </xf>
    <xf numFmtId="0" fontId="0" fillId="0" borderId="105" xfId="0" applyBorder="1" applyAlignment="1">
      <alignment wrapText="1"/>
    </xf>
    <xf numFmtId="0" fontId="0" fillId="3" borderId="117" xfId="0" applyFont="1" applyFill="1" applyBorder="1" applyAlignment="1">
      <alignment horizontal="center" vertical="center" wrapText="1"/>
    </xf>
    <xf numFmtId="0" fontId="0" fillId="3" borderId="118" xfId="0" applyFont="1" applyFill="1" applyBorder="1" applyAlignment="1">
      <alignment horizontal="center" vertical="center" wrapText="1"/>
    </xf>
    <xf numFmtId="2" fontId="11" fillId="0" borderId="123" xfId="0" applyNumberFormat="1" applyFont="1" applyBorder="1" applyAlignment="1">
      <alignment horizontal="right" vertical="center"/>
    </xf>
    <xf numFmtId="2" fontId="11" fillId="0" borderId="124" xfId="0" applyNumberFormat="1" applyFont="1" applyBorder="1" applyAlignment="1">
      <alignment horizontal="right" vertical="center"/>
    </xf>
    <xf numFmtId="2" fontId="13" fillId="0" borderId="115" xfId="0" applyNumberFormat="1" applyFont="1" applyBorder="1" applyAlignment="1">
      <alignment horizontal="right" vertical="center"/>
    </xf>
    <xf numFmtId="2" fontId="13" fillId="0" borderId="116" xfId="0" applyNumberFormat="1" applyFont="1" applyBorder="1" applyAlignment="1">
      <alignment horizontal="right" vertical="center"/>
    </xf>
    <xf numFmtId="2" fontId="13" fillId="0" borderId="14" xfId="0" applyNumberFormat="1" applyFont="1" applyBorder="1" applyAlignment="1">
      <alignment horizontal="right" vertical="center"/>
    </xf>
    <xf numFmtId="2" fontId="13" fillId="0" borderId="57" xfId="0" applyNumberFormat="1" applyFont="1" applyBorder="1" applyAlignment="1">
      <alignment horizontal="right" vertical="center"/>
    </xf>
    <xf numFmtId="2" fontId="13" fillId="0" borderId="21" xfId="0" applyNumberFormat="1" applyFont="1" applyBorder="1" applyAlignment="1">
      <alignment horizontal="right" vertical="center"/>
    </xf>
    <xf numFmtId="2" fontId="13" fillId="0" borderId="59" xfId="0" applyNumberFormat="1" applyFont="1" applyBorder="1" applyAlignment="1">
      <alignment horizontal="right" vertical="center"/>
    </xf>
    <xf numFmtId="0" fontId="0" fillId="3" borderId="125" xfId="0" applyFont="1" applyFill="1" applyBorder="1" applyAlignment="1">
      <alignment horizontal="center" vertical="center" wrapText="1"/>
    </xf>
    <xf numFmtId="9" fontId="12" fillId="0" borderId="14" xfId="0" applyNumberFormat="1" applyFont="1" applyBorder="1" applyAlignment="1">
      <alignment horizontal="right" vertical="center"/>
    </xf>
    <xf numFmtId="0" fontId="0" fillId="3" borderId="117" xfId="0" applyFont="1" applyFill="1" applyBorder="1" applyAlignment="1">
      <alignment horizontal="center" vertical="center"/>
    </xf>
    <xf numFmtId="9" fontId="12" fillId="0" borderId="21" xfId="0" applyNumberFormat="1" applyFont="1" applyBorder="1" applyAlignment="1">
      <alignment horizontal="right" vertical="center"/>
    </xf>
    <xf numFmtId="9" fontId="12" fillId="4" borderId="21" xfId="0" applyNumberFormat="1" applyFont="1" applyFill="1" applyBorder="1" applyAlignment="1">
      <alignment horizontal="right" vertical="center"/>
    </xf>
    <xf numFmtId="9" fontId="12" fillId="0" borderId="126" xfId="0" applyNumberFormat="1" applyFont="1" applyBorder="1" applyAlignment="1">
      <alignment horizontal="right" vertical="center"/>
    </xf>
    <xf numFmtId="9" fontId="12" fillId="0" borderId="115" xfId="0" applyNumberFormat="1" applyFont="1" applyBorder="1" applyAlignment="1">
      <alignment horizontal="right" vertical="center"/>
    </xf>
    <xf numFmtId="9" fontId="12" fillId="0" borderId="127" xfId="0" applyNumberFormat="1" applyFont="1" applyBorder="1" applyAlignment="1">
      <alignment horizontal="right" vertical="center"/>
    </xf>
    <xf numFmtId="9" fontId="12" fillId="0" borderId="128" xfId="0" applyNumberFormat="1" applyFont="1" applyBorder="1" applyAlignment="1">
      <alignment horizontal="right" vertical="center"/>
    </xf>
    <xf numFmtId="9" fontId="12" fillId="4" borderId="115" xfId="0" applyNumberFormat="1" applyFont="1" applyFill="1" applyBorder="1" applyAlignment="1">
      <alignment horizontal="right" vertical="center"/>
    </xf>
    <xf numFmtId="9" fontId="12" fillId="4" borderId="14" xfId="0" applyNumberFormat="1" applyFont="1" applyFill="1" applyBorder="1" applyAlignment="1">
      <alignment horizontal="right" vertical="center"/>
    </xf>
    <xf numFmtId="1" fontId="2" fillId="0" borderId="16" xfId="0" applyNumberFormat="1" applyFont="1" applyFill="1" applyBorder="1" applyAlignment="1">
      <alignment horizontal="left" vertical="center" wrapText="1"/>
    </xf>
    <xf numFmtId="1" fontId="2" fillId="0" borderId="15" xfId="0" applyNumberFormat="1" applyFont="1" applyFill="1" applyBorder="1" applyAlignment="1">
      <alignment horizontal="left" vertical="center" wrapText="1"/>
    </xf>
    <xf numFmtId="1" fontId="2" fillId="0" borderId="12" xfId="0" applyNumberFormat="1" applyFont="1" applyFill="1" applyBorder="1" applyAlignment="1">
      <alignment horizontal="left" vertical="center" wrapText="1"/>
    </xf>
    <xf numFmtId="1" fontId="2" fillId="0" borderId="129" xfId="0" applyNumberFormat="1"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0" fillId="4" borderId="24" xfId="0" applyFill="1" applyBorder="1" applyAlignment="1">
      <alignment horizontal="center"/>
    </xf>
    <xf numFmtId="0" fontId="0" fillId="4" borderId="25" xfId="0" applyFill="1" applyBorder="1" applyAlignment="1">
      <alignment horizontal="center"/>
    </xf>
    <xf numFmtId="0" fontId="2" fillId="4" borderId="92" xfId="0" applyFont="1" applyFill="1" applyBorder="1" applyAlignment="1">
      <alignment horizontal="center" wrapText="1"/>
    </xf>
    <xf numFmtId="0" fontId="0" fillId="4" borderId="102" xfId="0" applyFill="1" applyBorder="1" applyAlignment="1">
      <alignment horizontal="center" wrapText="1"/>
    </xf>
    <xf numFmtId="0" fontId="0" fillId="4" borderId="130" xfId="0" applyFill="1" applyBorder="1" applyAlignment="1">
      <alignment horizontal="center" wrapText="1"/>
    </xf>
    <xf numFmtId="0" fontId="0" fillId="4" borderId="131" xfId="0" applyFill="1" applyBorder="1" applyAlignment="1">
      <alignment horizontal="center" wrapText="1"/>
    </xf>
    <xf numFmtId="0" fontId="0" fillId="15" borderId="18" xfId="0" applyFill="1" applyBorder="1" applyAlignment="1" applyProtection="1">
      <alignment/>
      <protection/>
    </xf>
    <xf numFmtId="0" fontId="0" fillId="15" borderId="25" xfId="0" applyFill="1" applyBorder="1" applyAlignment="1" applyProtection="1">
      <alignment/>
      <protection/>
    </xf>
    <xf numFmtId="0" fontId="0" fillId="4" borderId="24" xfId="0" applyFill="1" applyBorder="1" applyAlignment="1" applyProtection="1">
      <alignment/>
      <protection/>
    </xf>
    <xf numFmtId="0" fontId="0" fillId="0" borderId="18" xfId="0" applyBorder="1" applyAlignment="1" applyProtection="1">
      <alignment/>
      <protection/>
    </xf>
    <xf numFmtId="0" fontId="0" fillId="0" borderId="25" xfId="0" applyBorder="1" applyAlignment="1" applyProtection="1">
      <alignment/>
      <protection/>
    </xf>
    <xf numFmtId="0" fontId="2" fillId="4" borderId="18" xfId="0" applyFont="1" applyFill="1" applyBorder="1" applyAlignment="1" applyProtection="1">
      <alignment/>
      <protection/>
    </xf>
    <xf numFmtId="0" fontId="0" fillId="4" borderId="24" xfId="0" applyFill="1" applyBorder="1" applyAlignment="1">
      <alignment/>
    </xf>
    <xf numFmtId="0" fontId="0" fillId="0" borderId="18" xfId="0" applyBorder="1" applyAlignment="1">
      <alignment/>
    </xf>
    <xf numFmtId="0" fontId="0" fillId="0" borderId="25" xfId="0" applyBorder="1" applyAlignment="1">
      <alignment/>
    </xf>
    <xf numFmtId="0" fontId="2" fillId="4" borderId="0" xfId="0" applyFont="1" applyFill="1" applyBorder="1" applyAlignment="1">
      <alignment/>
    </xf>
    <xf numFmtId="0" fontId="0" fillId="0" borderId="0" xfId="0" applyBorder="1" applyAlignment="1">
      <alignment/>
    </xf>
    <xf numFmtId="0" fontId="0" fillId="4" borderId="0" xfId="0" applyFill="1" applyAlignment="1">
      <alignment horizontal="center"/>
    </xf>
    <xf numFmtId="4" fontId="0" fillId="4" borderId="26" xfId="0" applyNumberFormat="1" applyFill="1" applyBorder="1" applyAlignment="1">
      <alignment horizontal="center"/>
    </xf>
    <xf numFmtId="0" fontId="0" fillId="0" borderId="26" xfId="0" applyBorder="1" applyAlignment="1">
      <alignment horizontal="center"/>
    </xf>
    <xf numFmtId="4" fontId="0" fillId="4" borderId="24" xfId="0" applyNumberFormat="1" applyFill="1" applyBorder="1" applyAlignment="1">
      <alignment horizontal="center"/>
    </xf>
    <xf numFmtId="0" fontId="0" fillId="0" borderId="18" xfId="0" applyBorder="1" applyAlignment="1">
      <alignment horizontal="center"/>
    </xf>
    <xf numFmtId="0" fontId="0" fillId="0" borderId="25" xfId="0" applyBorder="1" applyAlignment="1">
      <alignment horizontal="center"/>
    </xf>
  </cellXfs>
  <cellStyles count="11">
    <cellStyle name="Normal" xfId="0"/>
    <cellStyle name="Percent" xfId="15"/>
    <cellStyle name="Currency" xfId="16"/>
    <cellStyle name="Currency [0]" xfId="17"/>
    <cellStyle name="Comma" xfId="18"/>
    <cellStyle name="Comma [0]" xfId="19"/>
    <cellStyle name="Normální 2" xfId="20"/>
    <cellStyle name="Procenta" xfId="21"/>
    <cellStyle name="Normal_calculation_cover_sheet" xfId="22"/>
    <cellStyle name="Hypertextový odkaz" xfId="23"/>
    <cellStyle name="Normal 2" xfId="24"/>
  </cellStyles>
  <dxfs count="27">
    <dxf>
      <fill>
        <patternFill>
          <bgColor rgb="FFFF5050"/>
        </patternFill>
      </fill>
      <border/>
    </dxf>
    <dxf>
      <fill>
        <patternFill>
          <bgColor rgb="FFFF5050"/>
        </patternFill>
      </fill>
      <border/>
    </dxf>
    <dxf>
      <fill>
        <patternFill>
          <bgColor rgb="FFFF5050"/>
        </patternFill>
      </fill>
      <border/>
    </dxf>
    <dxf>
      <fill>
        <patternFill>
          <bgColor rgb="FFFFC000"/>
        </patternFill>
      </fill>
      <border/>
    </dxf>
    <dxf>
      <fill>
        <patternFill>
          <bgColor rgb="FFFF505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ont>
        <b val="0"/>
        <i val="0"/>
        <color auto="1"/>
      </font>
      <fill>
        <patternFill>
          <bgColor rgb="FFFF0000"/>
        </patternFill>
      </fill>
    </dxf>
    <dxf>
      <font>
        <b/>
        <i val="0"/>
        <color auto="1"/>
      </font>
      <fill>
        <patternFill>
          <bgColor rgb="FFFF0000"/>
        </patternFill>
      </fill>
      <border/>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ont>
        <sz val="10"/>
        <name val="Arial"/>
        <color rgb="FF000000"/>
      </font>
      <fill>
        <patternFill>
          <bgColor rgb="FFFF0000"/>
        </patternFill>
      </fill>
      <border/>
    </dxf>
    <dxf>
      <font>
        <sz val="10"/>
        <name val="Arial"/>
        <color rgb="FF000000"/>
      </font>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26</xdr:row>
      <xdr:rowOff>0</xdr:rowOff>
    </xdr:from>
    <xdr:to>
      <xdr:col>3</xdr:col>
      <xdr:colOff>276225</xdr:colOff>
      <xdr:row>29</xdr:row>
      <xdr:rowOff>161925</xdr:rowOff>
    </xdr:to>
    <xdr:cxnSp macro="">
      <xdr:nvCxnSpPr>
        <xdr:cNvPr id="22" name="Přímá spojnice se šipkou 21"/>
        <xdr:cNvCxnSpPr/>
      </xdr:nvCxnSpPr>
      <xdr:spPr>
        <a:xfrm>
          <a:off x="4010025" y="51149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266700</xdr:colOff>
      <xdr:row>26</xdr:row>
      <xdr:rowOff>0</xdr:rowOff>
    </xdr:from>
    <xdr:to>
      <xdr:col>4</xdr:col>
      <xdr:colOff>276225</xdr:colOff>
      <xdr:row>29</xdr:row>
      <xdr:rowOff>161925</xdr:rowOff>
    </xdr:to>
    <xdr:cxnSp macro="">
      <xdr:nvCxnSpPr>
        <xdr:cNvPr id="23" name="Přímá spojnice se šipkou 22"/>
        <xdr:cNvCxnSpPr/>
      </xdr:nvCxnSpPr>
      <xdr:spPr>
        <a:xfrm>
          <a:off x="4524375" y="51149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266700</xdr:colOff>
      <xdr:row>26</xdr:row>
      <xdr:rowOff>0</xdr:rowOff>
    </xdr:from>
    <xdr:to>
      <xdr:col>5</xdr:col>
      <xdr:colOff>276225</xdr:colOff>
      <xdr:row>29</xdr:row>
      <xdr:rowOff>161925</xdr:rowOff>
    </xdr:to>
    <xdr:cxnSp macro="">
      <xdr:nvCxnSpPr>
        <xdr:cNvPr id="24" name="Přímá spojnice se šipkou 23"/>
        <xdr:cNvCxnSpPr/>
      </xdr:nvCxnSpPr>
      <xdr:spPr>
        <a:xfrm>
          <a:off x="5038725" y="51149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266700</xdr:colOff>
      <xdr:row>26</xdr:row>
      <xdr:rowOff>0</xdr:rowOff>
    </xdr:from>
    <xdr:to>
      <xdr:col>6</xdr:col>
      <xdr:colOff>276225</xdr:colOff>
      <xdr:row>29</xdr:row>
      <xdr:rowOff>161925</xdr:rowOff>
    </xdr:to>
    <xdr:cxnSp macro="">
      <xdr:nvCxnSpPr>
        <xdr:cNvPr id="25" name="Přímá spojnice se šipkou 24"/>
        <xdr:cNvCxnSpPr/>
      </xdr:nvCxnSpPr>
      <xdr:spPr>
        <a:xfrm>
          <a:off x="5553075" y="51149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26</xdr:row>
      <xdr:rowOff>0</xdr:rowOff>
    </xdr:from>
    <xdr:to>
      <xdr:col>7</xdr:col>
      <xdr:colOff>276225</xdr:colOff>
      <xdr:row>29</xdr:row>
      <xdr:rowOff>161925</xdr:rowOff>
    </xdr:to>
    <xdr:cxnSp macro="">
      <xdr:nvCxnSpPr>
        <xdr:cNvPr id="26" name="Přímá spojnice se šipkou 25"/>
        <xdr:cNvCxnSpPr/>
      </xdr:nvCxnSpPr>
      <xdr:spPr>
        <a:xfrm>
          <a:off x="6067425" y="51149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26</xdr:row>
      <xdr:rowOff>0</xdr:rowOff>
    </xdr:from>
    <xdr:to>
      <xdr:col>8</xdr:col>
      <xdr:colOff>276225</xdr:colOff>
      <xdr:row>29</xdr:row>
      <xdr:rowOff>161925</xdr:rowOff>
    </xdr:to>
    <xdr:cxnSp macro="">
      <xdr:nvCxnSpPr>
        <xdr:cNvPr id="27" name="Přímá spojnice se šipkou 26"/>
        <xdr:cNvCxnSpPr/>
      </xdr:nvCxnSpPr>
      <xdr:spPr>
        <a:xfrm>
          <a:off x="6581775" y="51149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26</xdr:row>
      <xdr:rowOff>0</xdr:rowOff>
    </xdr:from>
    <xdr:to>
      <xdr:col>9</xdr:col>
      <xdr:colOff>276225</xdr:colOff>
      <xdr:row>29</xdr:row>
      <xdr:rowOff>161925</xdr:rowOff>
    </xdr:to>
    <xdr:cxnSp macro="">
      <xdr:nvCxnSpPr>
        <xdr:cNvPr id="28" name="Přímá spojnice se šipkou 27"/>
        <xdr:cNvCxnSpPr/>
      </xdr:nvCxnSpPr>
      <xdr:spPr>
        <a:xfrm>
          <a:off x="7096125" y="51149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26</xdr:row>
      <xdr:rowOff>0</xdr:rowOff>
    </xdr:from>
    <xdr:to>
      <xdr:col>10</xdr:col>
      <xdr:colOff>276225</xdr:colOff>
      <xdr:row>29</xdr:row>
      <xdr:rowOff>161925</xdr:rowOff>
    </xdr:to>
    <xdr:cxnSp macro="">
      <xdr:nvCxnSpPr>
        <xdr:cNvPr id="29" name="Přímá spojnice se šipkou 28"/>
        <xdr:cNvCxnSpPr/>
      </xdr:nvCxnSpPr>
      <xdr:spPr>
        <a:xfrm>
          <a:off x="7610475" y="51149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266700</xdr:colOff>
      <xdr:row>26</xdr:row>
      <xdr:rowOff>0</xdr:rowOff>
    </xdr:from>
    <xdr:to>
      <xdr:col>11</xdr:col>
      <xdr:colOff>276225</xdr:colOff>
      <xdr:row>29</xdr:row>
      <xdr:rowOff>161925</xdr:rowOff>
    </xdr:to>
    <xdr:cxnSp macro="">
      <xdr:nvCxnSpPr>
        <xdr:cNvPr id="30" name="Přímá spojnice se šipkou 29"/>
        <xdr:cNvCxnSpPr/>
      </xdr:nvCxnSpPr>
      <xdr:spPr>
        <a:xfrm>
          <a:off x="8124825" y="51149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266700</xdr:colOff>
      <xdr:row>26</xdr:row>
      <xdr:rowOff>0</xdr:rowOff>
    </xdr:from>
    <xdr:to>
      <xdr:col>12</xdr:col>
      <xdr:colOff>276225</xdr:colOff>
      <xdr:row>29</xdr:row>
      <xdr:rowOff>161925</xdr:rowOff>
    </xdr:to>
    <xdr:cxnSp macro="">
      <xdr:nvCxnSpPr>
        <xdr:cNvPr id="31" name="Přímá spojnice se šipkou 30"/>
        <xdr:cNvCxnSpPr/>
      </xdr:nvCxnSpPr>
      <xdr:spPr>
        <a:xfrm>
          <a:off x="8639175" y="5114925"/>
          <a:ext cx="9525" cy="647700"/>
        </a:xfrm>
        <a:prstGeom prst="straightConnector1">
          <a:avLst/>
        </a:prstGeom>
        <a:ln>
          <a:solidFill>
            <a:schemeClr val="bg2">
              <a:lumMod val="9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33</xdr:row>
      <xdr:rowOff>76200</xdr:rowOff>
    </xdr:from>
    <xdr:to>
      <xdr:col>11</xdr:col>
      <xdr:colOff>0</xdr:colOff>
      <xdr:row>35</xdr:row>
      <xdr:rowOff>76200</xdr:rowOff>
    </xdr:to>
    <xdr:sp macro="" textlink="">
      <xdr:nvSpPr>
        <xdr:cNvPr id="7" name="Volný tvar 6"/>
        <xdr:cNvSpPr/>
      </xdr:nvSpPr>
      <xdr:spPr>
        <a:xfrm>
          <a:off x="7886700" y="5800725"/>
          <a:ext cx="171450" cy="333375"/>
        </a:xfrm>
        <a:custGeom>
          <a:avLst/>
          <a:gdLst>
            <a:gd name="connsiteX0" fmla="*/ 168519 w 168519"/>
            <a:gd name="connsiteY0" fmla="*/ 329712 h 329712"/>
            <a:gd name="connsiteX1" fmla="*/ 0 w 168519"/>
            <a:gd name="connsiteY1" fmla="*/ 329712 h 329712"/>
            <a:gd name="connsiteX2" fmla="*/ 7327 w 168519"/>
            <a:gd name="connsiteY2" fmla="*/ 0 h 329712"/>
            <a:gd name="connsiteX3" fmla="*/ 168519 w 168519"/>
            <a:gd name="connsiteY3" fmla="*/ 7327 h 329712"/>
          </a:gdLst>
          <a:ahLst/>
          <a:cxnLst>
            <a:cxn ang="0">
              <a:pos x="connsiteX0" y="connsiteY0"/>
            </a:cxn>
            <a:cxn ang="0">
              <a:pos x="connsiteX1" y="connsiteY1"/>
            </a:cxn>
            <a:cxn ang="0">
              <a:pos x="connsiteX2" y="connsiteY2"/>
            </a:cxn>
            <a:cxn ang="0">
              <a:pos x="connsiteX3" y="connsiteY3"/>
            </a:cxn>
          </a:cxnLst>
          <a:rect l="l" t="t" r="r" b="b"/>
          <a:pathLst>
            <a:path h="329712" w="168519">
              <a:moveTo>
                <a:pt x="168519" y="329712"/>
              </a:moveTo>
              <a:lnTo>
                <a:pt x="0" y="329712"/>
              </a:lnTo>
              <a:lnTo>
                <a:pt x="7327" y="0"/>
              </a:lnTo>
              <a:lnTo>
                <a:pt x="168519" y="7327"/>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33</xdr:row>
      <xdr:rowOff>76200</xdr:rowOff>
    </xdr:from>
    <xdr:to>
      <xdr:col>11</xdr:col>
      <xdr:colOff>0</xdr:colOff>
      <xdr:row>35</xdr:row>
      <xdr:rowOff>76200</xdr:rowOff>
    </xdr:to>
    <xdr:sp macro="" textlink="">
      <xdr:nvSpPr>
        <xdr:cNvPr id="2" name="Volný tvar 1"/>
        <xdr:cNvSpPr/>
      </xdr:nvSpPr>
      <xdr:spPr>
        <a:xfrm>
          <a:off x="7886700" y="5800725"/>
          <a:ext cx="171450" cy="333375"/>
        </a:xfrm>
        <a:custGeom>
          <a:avLst/>
          <a:gdLst>
            <a:gd name="connsiteX0" fmla="*/ 168519 w 168519"/>
            <a:gd name="connsiteY0" fmla="*/ 329712 h 329712"/>
            <a:gd name="connsiteX1" fmla="*/ 0 w 168519"/>
            <a:gd name="connsiteY1" fmla="*/ 329712 h 329712"/>
            <a:gd name="connsiteX2" fmla="*/ 7327 w 168519"/>
            <a:gd name="connsiteY2" fmla="*/ 0 h 329712"/>
            <a:gd name="connsiteX3" fmla="*/ 168519 w 168519"/>
            <a:gd name="connsiteY3" fmla="*/ 7327 h 329712"/>
          </a:gdLst>
          <a:ahLst/>
          <a:cxnLst>
            <a:cxn ang="0">
              <a:pos x="connsiteX0" y="connsiteY0"/>
            </a:cxn>
            <a:cxn ang="0">
              <a:pos x="connsiteX1" y="connsiteY1"/>
            </a:cxn>
            <a:cxn ang="0">
              <a:pos x="connsiteX2" y="connsiteY2"/>
            </a:cxn>
            <a:cxn ang="0">
              <a:pos x="connsiteX3" y="connsiteY3"/>
            </a:cxn>
          </a:cxnLst>
          <a:rect l="l" t="t" r="r" b="b"/>
          <a:pathLst>
            <a:path h="329712" w="168519">
              <a:moveTo>
                <a:pt x="168519" y="329712"/>
              </a:moveTo>
              <a:lnTo>
                <a:pt x="0" y="329712"/>
              </a:lnTo>
              <a:lnTo>
                <a:pt x="7327" y="0"/>
              </a:lnTo>
              <a:lnTo>
                <a:pt x="168519" y="7327"/>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33</xdr:row>
      <xdr:rowOff>76200</xdr:rowOff>
    </xdr:from>
    <xdr:to>
      <xdr:col>11</xdr:col>
      <xdr:colOff>0</xdr:colOff>
      <xdr:row>35</xdr:row>
      <xdr:rowOff>76200</xdr:rowOff>
    </xdr:to>
    <xdr:sp macro="" textlink="">
      <xdr:nvSpPr>
        <xdr:cNvPr id="2" name="Volný tvar 1"/>
        <xdr:cNvSpPr/>
      </xdr:nvSpPr>
      <xdr:spPr>
        <a:xfrm>
          <a:off x="7886700" y="5800725"/>
          <a:ext cx="171450" cy="333375"/>
        </a:xfrm>
        <a:custGeom>
          <a:avLst/>
          <a:gdLst>
            <a:gd name="connsiteX0" fmla="*/ 168519 w 168519"/>
            <a:gd name="connsiteY0" fmla="*/ 329712 h 329712"/>
            <a:gd name="connsiteX1" fmla="*/ 0 w 168519"/>
            <a:gd name="connsiteY1" fmla="*/ 329712 h 329712"/>
            <a:gd name="connsiteX2" fmla="*/ 7327 w 168519"/>
            <a:gd name="connsiteY2" fmla="*/ 0 h 329712"/>
            <a:gd name="connsiteX3" fmla="*/ 168519 w 168519"/>
            <a:gd name="connsiteY3" fmla="*/ 7327 h 329712"/>
          </a:gdLst>
          <a:ahLst/>
          <a:cxnLst>
            <a:cxn ang="0">
              <a:pos x="connsiteX0" y="connsiteY0"/>
            </a:cxn>
            <a:cxn ang="0">
              <a:pos x="connsiteX1" y="connsiteY1"/>
            </a:cxn>
            <a:cxn ang="0">
              <a:pos x="connsiteX2" y="connsiteY2"/>
            </a:cxn>
            <a:cxn ang="0">
              <a:pos x="connsiteX3" y="connsiteY3"/>
            </a:cxn>
          </a:cxnLst>
          <a:rect l="l" t="t" r="r" b="b"/>
          <a:pathLst>
            <a:path h="329712" w="168519">
              <a:moveTo>
                <a:pt x="168519" y="329712"/>
              </a:moveTo>
              <a:lnTo>
                <a:pt x="0" y="329712"/>
              </a:lnTo>
              <a:lnTo>
                <a:pt x="7327" y="0"/>
              </a:lnTo>
              <a:lnTo>
                <a:pt x="168519" y="7327"/>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9"/>
  <sheetViews>
    <sheetView showGridLines="0" workbookViewId="0" topLeftCell="A25">
      <selection activeCell="B45" sqref="B45:E47"/>
    </sheetView>
  </sheetViews>
  <sheetFormatPr defaultColWidth="0" defaultRowHeight="12.75" zeroHeight="1"/>
  <cols>
    <col min="1" max="1" width="4.7109375" style="0" customWidth="1"/>
    <col min="2" max="2" width="19.57421875" style="0" customWidth="1"/>
    <col min="3" max="3" width="27.00390625" style="0" customWidth="1"/>
    <col min="4" max="5" width="9.140625" style="0" customWidth="1"/>
    <col min="6" max="6" width="12.8515625" style="0" customWidth="1"/>
    <col min="7" max="8" width="9.140625" style="0" customWidth="1"/>
    <col min="9" max="9" width="11.28125" style="0" bestFit="1" customWidth="1"/>
    <col min="10" max="10" width="4.7109375" style="0" customWidth="1"/>
    <col min="11" max="11" width="9.140625" style="0" hidden="1" customWidth="1"/>
    <col min="12" max="12" width="0" style="0" hidden="1" customWidth="1"/>
    <col min="13" max="16384" width="9.140625" style="0" hidden="1" customWidth="1"/>
  </cols>
  <sheetData>
    <row r="1" ht="13.5" thickBot="1"/>
    <row r="2" spans="2:9" ht="18.75" thickBot="1">
      <c r="B2" s="253" t="s">
        <v>141</v>
      </c>
      <c r="C2" s="254"/>
      <c r="D2" s="254"/>
      <c r="E2" s="254"/>
      <c r="F2" s="254"/>
      <c r="G2" s="254"/>
      <c r="H2" s="254"/>
      <c r="I2" s="255"/>
    </row>
    <row r="3" spans="2:9" ht="12.75">
      <c r="B3" s="256" t="s">
        <v>142</v>
      </c>
      <c r="C3" s="257" t="s">
        <v>143</v>
      </c>
      <c r="D3" s="258"/>
      <c r="E3" s="258"/>
      <c r="F3" s="258"/>
      <c r="G3" s="258"/>
      <c r="H3" s="258"/>
      <c r="I3" s="259"/>
    </row>
    <row r="4" spans="2:9" ht="12.75">
      <c r="B4" s="260" t="s">
        <v>144</v>
      </c>
      <c r="C4" s="577">
        <v>304834</v>
      </c>
      <c r="D4" s="577"/>
      <c r="E4" s="261" t="s">
        <v>145</v>
      </c>
      <c r="F4" s="262" t="s">
        <v>146</v>
      </c>
      <c r="G4" s="263"/>
      <c r="H4" s="264" t="s">
        <v>147</v>
      </c>
      <c r="I4" s="265"/>
    </row>
    <row r="5" spans="2:9" ht="12.75">
      <c r="B5" s="266" t="s">
        <v>148</v>
      </c>
      <c r="C5" s="578" t="s">
        <v>192</v>
      </c>
      <c r="D5" s="578"/>
      <c r="E5" s="578"/>
      <c r="F5" s="578"/>
      <c r="G5" s="267"/>
      <c r="H5" s="268" t="s">
        <v>149</v>
      </c>
      <c r="I5" s="269"/>
    </row>
    <row r="6" spans="2:9" ht="12.75">
      <c r="B6" s="270" t="s">
        <v>150</v>
      </c>
      <c r="C6" s="579" t="s">
        <v>193</v>
      </c>
      <c r="D6" s="580"/>
      <c r="E6" s="580"/>
      <c r="F6" s="580"/>
      <c r="G6" s="580"/>
      <c r="H6" s="580"/>
      <c r="I6" s="581"/>
    </row>
    <row r="7" spans="2:9" ht="12.75">
      <c r="B7" s="271" t="s">
        <v>151</v>
      </c>
      <c r="C7" s="272" t="s">
        <v>152</v>
      </c>
      <c r="D7" s="273" t="s">
        <v>153</v>
      </c>
      <c r="E7" s="272"/>
      <c r="F7" s="274" t="s">
        <v>152</v>
      </c>
      <c r="G7" s="582" t="s">
        <v>154</v>
      </c>
      <c r="H7" s="582"/>
      <c r="I7" s="275" t="s">
        <v>152</v>
      </c>
    </row>
    <row r="8" spans="2:9" s="98" customFormat="1" ht="12.75">
      <c r="B8" s="276"/>
      <c r="C8" s="277"/>
      <c r="D8" s="583"/>
      <c r="E8" s="577"/>
      <c r="F8" s="278"/>
      <c r="G8" s="277"/>
      <c r="H8" s="277"/>
      <c r="I8" s="265"/>
    </row>
    <row r="9" spans="2:9" ht="13.5" thickBot="1">
      <c r="B9" s="279"/>
      <c r="C9" s="280"/>
      <c r="D9" s="575"/>
      <c r="E9" s="576"/>
      <c r="F9" s="281"/>
      <c r="G9" s="575"/>
      <c r="H9" s="576"/>
      <c r="I9" s="282"/>
    </row>
    <row r="10" spans="2:9" ht="12.75">
      <c r="B10" s="572" t="s">
        <v>155</v>
      </c>
      <c r="C10" s="573"/>
      <c r="D10" s="573"/>
      <c r="E10" s="573"/>
      <c r="F10" s="573"/>
      <c r="G10" s="573"/>
      <c r="H10" s="573"/>
      <c r="I10" s="574"/>
    </row>
    <row r="11" spans="2:9" ht="12.75">
      <c r="B11" s="271" t="s">
        <v>156</v>
      </c>
      <c r="C11" s="274"/>
      <c r="D11" s="273" t="s">
        <v>157</v>
      </c>
      <c r="E11" s="283"/>
      <c r="F11" s="283"/>
      <c r="G11" s="272"/>
      <c r="H11" s="272"/>
      <c r="I11" s="275"/>
    </row>
    <row r="12" spans="2:9" ht="12.75">
      <c r="B12" s="276" t="s">
        <v>158</v>
      </c>
      <c r="C12" s="284"/>
      <c r="D12" s="285">
        <v>2010</v>
      </c>
      <c r="E12" s="277"/>
      <c r="F12" s="277"/>
      <c r="G12" s="264"/>
      <c r="H12" s="264"/>
      <c r="I12" s="286"/>
    </row>
    <row r="13" spans="2:9" ht="13.5" thickBot="1">
      <c r="B13" s="279"/>
      <c r="C13" s="287"/>
      <c r="D13" s="288"/>
      <c r="E13" s="289"/>
      <c r="F13" s="289"/>
      <c r="G13" s="290"/>
      <c r="H13" s="290"/>
      <c r="I13" s="291"/>
    </row>
    <row r="14" spans="2:9" ht="12.75">
      <c r="B14" s="572" t="s">
        <v>159</v>
      </c>
      <c r="C14" s="573"/>
      <c r="D14" s="573"/>
      <c r="E14" s="573"/>
      <c r="F14" s="573"/>
      <c r="G14" s="573"/>
      <c r="H14" s="573"/>
      <c r="I14" s="574"/>
    </row>
    <row r="15" spans="2:9" ht="12.75">
      <c r="B15" s="556"/>
      <c r="C15" s="557"/>
      <c r="D15" s="557"/>
      <c r="E15" s="557"/>
      <c r="F15" s="557"/>
      <c r="G15" s="557"/>
      <c r="H15" s="557"/>
      <c r="I15" s="558"/>
    </row>
    <row r="16" spans="2:9" ht="12.75">
      <c r="B16" s="568" t="s">
        <v>160</v>
      </c>
      <c r="C16" s="569"/>
      <c r="D16" s="569"/>
      <c r="E16" s="569"/>
      <c r="F16" s="569"/>
      <c r="G16" s="569"/>
      <c r="H16" s="569"/>
      <c r="I16" s="570"/>
    </row>
    <row r="17" spans="2:9" ht="12.75">
      <c r="B17" s="568" t="s">
        <v>161</v>
      </c>
      <c r="C17" s="569"/>
      <c r="D17" s="569"/>
      <c r="E17" s="569"/>
      <c r="F17" s="569"/>
      <c r="G17" s="569"/>
      <c r="H17" s="569"/>
      <c r="I17" s="570"/>
    </row>
    <row r="18" spans="2:9" ht="12.75">
      <c r="B18" s="568" t="s">
        <v>162</v>
      </c>
      <c r="C18" s="569"/>
      <c r="D18" s="569"/>
      <c r="E18" s="569"/>
      <c r="F18" s="569"/>
      <c r="G18" s="569"/>
      <c r="H18" s="569"/>
      <c r="I18" s="570"/>
    </row>
    <row r="19" spans="2:9" ht="12.75">
      <c r="B19" s="568" t="s">
        <v>163</v>
      </c>
      <c r="C19" s="569"/>
      <c r="D19" s="569"/>
      <c r="E19" s="569"/>
      <c r="F19" s="569"/>
      <c r="G19" s="569"/>
      <c r="H19" s="569"/>
      <c r="I19" s="570"/>
    </row>
    <row r="20" spans="2:9" ht="12.75">
      <c r="B20" s="568" t="s">
        <v>164</v>
      </c>
      <c r="C20" s="569"/>
      <c r="D20" s="569"/>
      <c r="E20" s="569"/>
      <c r="F20" s="569"/>
      <c r="G20" s="569"/>
      <c r="H20" s="569"/>
      <c r="I20" s="570"/>
    </row>
    <row r="21" spans="2:9" ht="12.75">
      <c r="B21" s="568" t="s">
        <v>165</v>
      </c>
      <c r="C21" s="569"/>
      <c r="D21" s="569"/>
      <c r="E21" s="569"/>
      <c r="F21" s="569"/>
      <c r="G21" s="569"/>
      <c r="H21" s="569"/>
      <c r="I21" s="570"/>
    </row>
    <row r="22" spans="2:9" ht="12.75">
      <c r="B22" s="568" t="s">
        <v>166</v>
      </c>
      <c r="C22" s="569"/>
      <c r="D22" s="569"/>
      <c r="E22" s="569"/>
      <c r="F22" s="569"/>
      <c r="G22" s="569"/>
      <c r="H22" s="569"/>
      <c r="I22" s="570"/>
    </row>
    <row r="23" spans="2:9" ht="26.1" customHeight="1">
      <c r="B23" s="568" t="s">
        <v>167</v>
      </c>
      <c r="C23" s="569"/>
      <c r="D23" s="569"/>
      <c r="E23" s="569"/>
      <c r="F23" s="569"/>
      <c r="G23" s="569"/>
      <c r="H23" s="569"/>
      <c r="I23" s="570"/>
    </row>
    <row r="24" spans="2:9" ht="26.1" customHeight="1">
      <c r="B24" s="568" t="s">
        <v>168</v>
      </c>
      <c r="C24" s="569"/>
      <c r="D24" s="569"/>
      <c r="E24" s="569"/>
      <c r="F24" s="569"/>
      <c r="G24" s="569"/>
      <c r="H24" s="569"/>
      <c r="I24" s="570"/>
    </row>
    <row r="25" spans="2:9" ht="26.1" customHeight="1">
      <c r="B25" s="568" t="s">
        <v>254</v>
      </c>
      <c r="C25" s="569"/>
      <c r="D25" s="569"/>
      <c r="E25" s="569"/>
      <c r="F25" s="569"/>
      <c r="G25" s="569"/>
      <c r="H25" s="569"/>
      <c r="I25" s="570"/>
    </row>
    <row r="26" spans="2:9" ht="12.75">
      <c r="B26" s="568" t="s">
        <v>194</v>
      </c>
      <c r="C26" s="569"/>
      <c r="D26" s="569"/>
      <c r="E26" s="569"/>
      <c r="F26" s="569"/>
      <c r="G26" s="569"/>
      <c r="H26" s="569"/>
      <c r="I26" s="570"/>
    </row>
    <row r="27" spans="2:9" ht="12.75" customHeight="1">
      <c r="B27" s="568" t="s">
        <v>169</v>
      </c>
      <c r="C27" s="569"/>
      <c r="D27" s="569"/>
      <c r="E27" s="569"/>
      <c r="F27" s="569"/>
      <c r="G27" s="569"/>
      <c r="H27" s="569"/>
      <c r="I27" s="570"/>
    </row>
    <row r="28" spans="2:9" ht="12.75" customHeight="1">
      <c r="B28" s="568" t="s">
        <v>170</v>
      </c>
      <c r="C28" s="569"/>
      <c r="D28" s="569"/>
      <c r="E28" s="569"/>
      <c r="F28" s="569"/>
      <c r="G28" s="569"/>
      <c r="H28" s="569"/>
      <c r="I28" s="570"/>
    </row>
    <row r="29" spans="2:9" ht="26.1" customHeight="1">
      <c r="B29" s="568" t="s">
        <v>171</v>
      </c>
      <c r="C29" s="569"/>
      <c r="D29" s="569"/>
      <c r="E29" s="569"/>
      <c r="F29" s="569"/>
      <c r="G29" s="569"/>
      <c r="H29" s="569"/>
      <c r="I29" s="570"/>
    </row>
    <row r="30" spans="2:9" ht="12.75" customHeight="1">
      <c r="B30" s="568" t="s">
        <v>172</v>
      </c>
      <c r="C30" s="569"/>
      <c r="D30" s="569"/>
      <c r="E30" s="569"/>
      <c r="F30" s="569"/>
      <c r="G30" s="569"/>
      <c r="H30" s="569"/>
      <c r="I30" s="570"/>
    </row>
    <row r="31" spans="2:9" ht="12.75" customHeight="1">
      <c r="B31" s="568" t="s">
        <v>173</v>
      </c>
      <c r="C31" s="569"/>
      <c r="D31" s="569"/>
      <c r="E31" s="569"/>
      <c r="F31" s="569"/>
      <c r="G31" s="569"/>
      <c r="H31" s="569"/>
      <c r="I31" s="570"/>
    </row>
    <row r="32" spans="2:9" ht="12.75" customHeight="1">
      <c r="B32" s="568" t="s">
        <v>255</v>
      </c>
      <c r="C32" s="569"/>
      <c r="D32" s="569"/>
      <c r="E32" s="569"/>
      <c r="F32" s="569"/>
      <c r="G32" s="569"/>
      <c r="H32" s="569"/>
      <c r="I32" s="570"/>
    </row>
    <row r="33" spans="2:9" ht="13.5" thickBot="1">
      <c r="B33" s="550"/>
      <c r="C33" s="551"/>
      <c r="D33" s="551"/>
      <c r="E33" s="551"/>
      <c r="F33" s="551"/>
      <c r="G33" s="551"/>
      <c r="H33" s="551"/>
      <c r="I33" s="552"/>
    </row>
    <row r="34" spans="2:9" ht="12.75">
      <c r="B34" s="541" t="s">
        <v>174</v>
      </c>
      <c r="C34" s="542"/>
      <c r="D34" s="542"/>
      <c r="E34" s="542"/>
      <c r="F34" s="542"/>
      <c r="G34" s="542"/>
      <c r="H34" s="542"/>
      <c r="I34" s="543"/>
    </row>
    <row r="35" spans="2:9" ht="12.75">
      <c r="B35" s="292" t="s">
        <v>175</v>
      </c>
      <c r="C35" s="293" t="s">
        <v>176</v>
      </c>
      <c r="D35" s="293"/>
      <c r="E35" s="293"/>
      <c r="F35" s="293"/>
      <c r="G35" s="571" t="s">
        <v>177</v>
      </c>
      <c r="H35" s="571"/>
      <c r="I35" s="294"/>
    </row>
    <row r="36" spans="2:9" ht="12.75">
      <c r="B36" s="295">
        <v>41961</v>
      </c>
      <c r="C36" s="566" t="s">
        <v>206</v>
      </c>
      <c r="D36" s="566"/>
      <c r="E36" s="566"/>
      <c r="F36" s="566"/>
      <c r="G36" s="567" t="s">
        <v>207</v>
      </c>
      <c r="H36" s="567"/>
      <c r="I36" s="296"/>
    </row>
    <row r="37" spans="2:9" ht="12.75">
      <c r="B37" s="556"/>
      <c r="C37" s="557"/>
      <c r="D37" s="557"/>
      <c r="E37" s="557"/>
      <c r="F37" s="557"/>
      <c r="G37" s="557"/>
      <c r="H37" s="557"/>
      <c r="I37" s="558"/>
    </row>
    <row r="38" spans="2:9" ht="12.75">
      <c r="B38" s="556"/>
      <c r="C38" s="557"/>
      <c r="D38" s="557"/>
      <c r="E38" s="557"/>
      <c r="F38" s="557"/>
      <c r="G38" s="557"/>
      <c r="H38" s="557"/>
      <c r="I38" s="558"/>
    </row>
    <row r="39" spans="2:9" ht="12.75">
      <c r="B39" s="556"/>
      <c r="C39" s="557"/>
      <c r="D39" s="557"/>
      <c r="E39" s="557"/>
      <c r="F39" s="557"/>
      <c r="G39" s="557"/>
      <c r="H39" s="557"/>
      <c r="I39" s="558"/>
    </row>
    <row r="40" spans="2:9" ht="13.5" thickBot="1">
      <c r="B40" s="556"/>
      <c r="C40" s="557"/>
      <c r="D40" s="557"/>
      <c r="E40" s="557"/>
      <c r="F40" s="557"/>
      <c r="G40" s="557"/>
      <c r="H40" s="557"/>
      <c r="I40" s="558"/>
    </row>
    <row r="41" spans="2:9" ht="12.75" customHeight="1">
      <c r="B41" s="361" t="s">
        <v>178</v>
      </c>
      <c r="C41" s="565" t="s">
        <v>176</v>
      </c>
      <c r="D41" s="565"/>
      <c r="E41" s="565"/>
      <c r="F41" s="297" t="s">
        <v>177</v>
      </c>
      <c r="G41" s="565" t="s">
        <v>179</v>
      </c>
      <c r="H41" s="565"/>
      <c r="I41" s="362" t="s">
        <v>175</v>
      </c>
    </row>
    <row r="42" spans="2:9" s="300" customFormat="1" ht="24">
      <c r="B42" s="366" t="s">
        <v>208</v>
      </c>
      <c r="C42" s="559" t="s">
        <v>209</v>
      </c>
      <c r="D42" s="559"/>
      <c r="E42" s="559"/>
      <c r="F42" s="367" t="s">
        <v>207</v>
      </c>
      <c r="G42" s="560" t="s">
        <v>222</v>
      </c>
      <c r="H42" s="560"/>
      <c r="I42" s="368">
        <v>41961</v>
      </c>
    </row>
    <row r="43" spans="2:9" s="300" customFormat="1" ht="12.75">
      <c r="B43" s="366"/>
      <c r="C43" s="559" t="s">
        <v>210</v>
      </c>
      <c r="D43" s="559"/>
      <c r="E43" s="559"/>
      <c r="F43" s="367"/>
      <c r="G43" s="560" t="s">
        <v>222</v>
      </c>
      <c r="H43" s="560"/>
      <c r="I43" s="368">
        <v>41961</v>
      </c>
    </row>
    <row r="44" spans="2:9" s="300" customFormat="1" ht="12.75">
      <c r="B44" s="366" t="s">
        <v>211</v>
      </c>
      <c r="C44" s="559" t="s">
        <v>212</v>
      </c>
      <c r="D44" s="559"/>
      <c r="E44" s="559"/>
      <c r="F44" s="367"/>
      <c r="G44" s="560" t="s">
        <v>222</v>
      </c>
      <c r="H44" s="560"/>
      <c r="I44" s="368">
        <v>41961</v>
      </c>
    </row>
    <row r="45" spans="2:9" s="300" customFormat="1" ht="12.75" customHeight="1">
      <c r="B45" s="366"/>
      <c r="C45" s="559" t="s">
        <v>213</v>
      </c>
      <c r="D45" s="559"/>
      <c r="E45" s="559"/>
      <c r="F45" s="369"/>
      <c r="G45" s="560" t="s">
        <v>222</v>
      </c>
      <c r="H45" s="560"/>
      <c r="I45" s="368">
        <v>41961</v>
      </c>
    </row>
    <row r="46" spans="2:9" s="300" customFormat="1" ht="26.25" customHeight="1">
      <c r="B46" s="366"/>
      <c r="C46" s="564" t="s">
        <v>214</v>
      </c>
      <c r="D46" s="564"/>
      <c r="E46" s="564"/>
      <c r="F46" s="369"/>
      <c r="G46" s="560" t="s">
        <v>222</v>
      </c>
      <c r="H46" s="560"/>
      <c r="I46" s="368">
        <v>41961</v>
      </c>
    </row>
    <row r="47" spans="2:9" s="300" customFormat="1" ht="24">
      <c r="B47" s="366" t="s">
        <v>215</v>
      </c>
      <c r="C47" s="559" t="s">
        <v>216</v>
      </c>
      <c r="D47" s="559"/>
      <c r="E47" s="559"/>
      <c r="F47" s="367"/>
      <c r="G47" s="560" t="s">
        <v>222</v>
      </c>
      <c r="H47" s="560"/>
      <c r="I47" s="368">
        <v>41961</v>
      </c>
    </row>
    <row r="48" spans="2:9" s="300" customFormat="1" ht="12.75" customHeight="1">
      <c r="B48" s="366"/>
      <c r="C48" s="559" t="s">
        <v>225</v>
      </c>
      <c r="D48" s="559"/>
      <c r="E48" s="559"/>
      <c r="F48" s="369"/>
      <c r="G48" s="560" t="s">
        <v>222</v>
      </c>
      <c r="H48" s="560"/>
      <c r="I48" s="368">
        <v>41961</v>
      </c>
    </row>
    <row r="49" spans="2:9" s="300" customFormat="1" ht="12.75">
      <c r="B49" s="366" t="s">
        <v>217</v>
      </c>
      <c r="C49" s="559" t="s">
        <v>218</v>
      </c>
      <c r="D49" s="559"/>
      <c r="E49" s="559"/>
      <c r="F49" s="367"/>
      <c r="G49" s="560" t="s">
        <v>222</v>
      </c>
      <c r="H49" s="560"/>
      <c r="I49" s="368">
        <v>41961</v>
      </c>
    </row>
    <row r="50" spans="2:9" s="300" customFormat="1" ht="12.75">
      <c r="B50" s="366"/>
      <c r="C50" s="559" t="s">
        <v>219</v>
      </c>
      <c r="D50" s="559"/>
      <c r="E50" s="559"/>
      <c r="F50" s="367"/>
      <c r="G50" s="560" t="s">
        <v>222</v>
      </c>
      <c r="H50" s="560"/>
      <c r="I50" s="368">
        <v>41961</v>
      </c>
    </row>
    <row r="51" spans="2:9" s="300" customFormat="1" ht="72">
      <c r="B51" s="366" t="s">
        <v>220</v>
      </c>
      <c r="C51" s="367" t="s">
        <v>221</v>
      </c>
      <c r="D51" s="367"/>
      <c r="E51" s="367"/>
      <c r="F51" s="367"/>
      <c r="G51" s="560" t="s">
        <v>224</v>
      </c>
      <c r="H51" s="560"/>
      <c r="I51" s="368">
        <v>41961</v>
      </c>
    </row>
    <row r="52" spans="2:9" s="300" customFormat="1" ht="24">
      <c r="B52" s="298" t="s">
        <v>247</v>
      </c>
      <c r="C52" s="343" t="s">
        <v>248</v>
      </c>
      <c r="D52" s="343"/>
      <c r="E52" s="343"/>
      <c r="F52" s="343" t="s">
        <v>207</v>
      </c>
      <c r="G52" s="344" t="s">
        <v>222</v>
      </c>
      <c r="H52" s="344"/>
      <c r="I52" s="299">
        <v>41971</v>
      </c>
    </row>
    <row r="53" spans="2:9" s="300" customFormat="1" ht="24">
      <c r="B53" s="298" t="s">
        <v>249</v>
      </c>
      <c r="C53" s="343" t="s">
        <v>248</v>
      </c>
      <c r="D53" s="343"/>
      <c r="E53" s="343"/>
      <c r="F53" s="343"/>
      <c r="G53" s="344" t="s">
        <v>222</v>
      </c>
      <c r="H53" s="344"/>
      <c r="I53" s="299">
        <v>41971</v>
      </c>
    </row>
    <row r="54" spans="2:9" s="300" customFormat="1" ht="51">
      <c r="B54" s="363"/>
      <c r="C54" s="364" t="s">
        <v>256</v>
      </c>
      <c r="D54" s="365"/>
      <c r="E54" s="365"/>
      <c r="F54" s="343"/>
      <c r="G54" s="344" t="s">
        <v>250</v>
      </c>
      <c r="H54" s="344"/>
      <c r="I54" s="299"/>
    </row>
    <row r="55" spans="2:9" s="300" customFormat="1" ht="78" customHeight="1">
      <c r="B55" s="363"/>
      <c r="C55" s="364" t="s">
        <v>257</v>
      </c>
      <c r="D55" s="343"/>
      <c r="E55" s="343"/>
      <c r="F55" s="343"/>
      <c r="G55" s="344" t="s">
        <v>250</v>
      </c>
      <c r="H55" s="344"/>
      <c r="I55" s="299"/>
    </row>
    <row r="56" spans="2:9" s="300" customFormat="1" ht="24">
      <c r="B56" s="298" t="s">
        <v>258</v>
      </c>
      <c r="C56" s="343" t="s">
        <v>248</v>
      </c>
      <c r="D56" s="343"/>
      <c r="E56" s="343"/>
      <c r="F56" s="343"/>
      <c r="G56" s="344" t="s">
        <v>222</v>
      </c>
      <c r="H56" s="344"/>
      <c r="I56" s="299">
        <v>41971</v>
      </c>
    </row>
    <row r="57" spans="2:9" s="300" customFormat="1" ht="12.75" hidden="1">
      <c r="B57" s="298"/>
      <c r="C57" s="343"/>
      <c r="D57" s="343"/>
      <c r="E57" s="343"/>
      <c r="F57" s="343"/>
      <c r="G57" s="344"/>
      <c r="H57" s="344"/>
      <c r="I57" s="299"/>
    </row>
    <row r="58" spans="2:9" s="300" customFormat="1" ht="12.75" hidden="1">
      <c r="B58" s="298"/>
      <c r="C58" s="343"/>
      <c r="D58" s="343"/>
      <c r="E58" s="343"/>
      <c r="F58" s="343"/>
      <c r="G58" s="344"/>
      <c r="H58" s="344"/>
      <c r="I58" s="299"/>
    </row>
    <row r="59" spans="2:9" s="300" customFormat="1" ht="12.75" hidden="1">
      <c r="B59" s="298"/>
      <c r="C59" s="343"/>
      <c r="D59" s="343"/>
      <c r="E59" s="343"/>
      <c r="F59" s="343"/>
      <c r="G59" s="344"/>
      <c r="H59" s="344"/>
      <c r="I59" s="299"/>
    </row>
    <row r="60" spans="2:9" s="300" customFormat="1" ht="12.75" hidden="1">
      <c r="B60" s="298"/>
      <c r="C60" s="343"/>
      <c r="D60" s="343"/>
      <c r="E60" s="343"/>
      <c r="F60" s="343"/>
      <c r="G60" s="344"/>
      <c r="H60" s="344"/>
      <c r="I60" s="299"/>
    </row>
    <row r="61" spans="2:9" s="300" customFormat="1" ht="12.75" hidden="1">
      <c r="B61" s="298"/>
      <c r="C61" s="343"/>
      <c r="D61" s="343"/>
      <c r="E61" s="343"/>
      <c r="F61" s="343"/>
      <c r="G61" s="344"/>
      <c r="H61" s="344"/>
      <c r="I61" s="299"/>
    </row>
    <row r="62" spans="2:9" s="300" customFormat="1" ht="12.75" hidden="1">
      <c r="B62" s="298"/>
      <c r="C62" s="343"/>
      <c r="D62" s="343"/>
      <c r="E62" s="343"/>
      <c r="F62" s="343"/>
      <c r="G62" s="344"/>
      <c r="H62" s="344"/>
      <c r="I62" s="299"/>
    </row>
    <row r="63" spans="2:9" s="300" customFormat="1" ht="12.75" hidden="1">
      <c r="B63" s="301"/>
      <c r="C63" s="302"/>
      <c r="D63" s="302"/>
      <c r="E63" s="302"/>
      <c r="F63" s="302"/>
      <c r="G63" s="302"/>
      <c r="H63" s="302"/>
      <c r="I63" s="303"/>
    </row>
    <row r="64" spans="2:9" s="300" customFormat="1" ht="12.75">
      <c r="B64" s="301"/>
      <c r="C64" s="302"/>
      <c r="D64" s="302"/>
      <c r="E64" s="302"/>
      <c r="F64" s="302"/>
      <c r="G64" s="302"/>
      <c r="H64" s="302"/>
      <c r="I64" s="303"/>
    </row>
    <row r="65" spans="2:9" ht="12.75">
      <c r="B65" s="304" t="s">
        <v>180</v>
      </c>
      <c r="C65" s="305"/>
      <c r="D65" s="306"/>
      <c r="E65" s="306"/>
      <c r="F65" s="306"/>
      <c r="G65" s="306"/>
      <c r="H65" s="305"/>
      <c r="I65" s="307"/>
    </row>
    <row r="66" spans="2:9" ht="12.75">
      <c r="B66" s="556" t="s">
        <v>181</v>
      </c>
      <c r="C66" s="557"/>
      <c r="D66" s="557"/>
      <c r="E66" s="557"/>
      <c r="F66" s="557"/>
      <c r="G66" s="557"/>
      <c r="H66" s="557"/>
      <c r="I66" s="558"/>
    </row>
    <row r="67" spans="2:9" ht="12.75">
      <c r="B67" s="561"/>
      <c r="C67" s="562"/>
      <c r="D67" s="562"/>
      <c r="E67" s="562"/>
      <c r="F67" s="562"/>
      <c r="G67" s="562"/>
      <c r="H67" s="562"/>
      <c r="I67" s="563"/>
    </row>
    <row r="68" spans="2:9" ht="12.75">
      <c r="B68" s="556" t="s">
        <v>182</v>
      </c>
      <c r="C68" s="557"/>
      <c r="D68" s="557"/>
      <c r="E68" s="557"/>
      <c r="F68" s="557"/>
      <c r="G68" s="557"/>
      <c r="H68" s="557"/>
      <c r="I68" s="558"/>
    </row>
    <row r="69" spans="2:9" ht="12.75">
      <c r="B69" s="561"/>
      <c r="C69" s="562"/>
      <c r="D69" s="562"/>
      <c r="E69" s="562"/>
      <c r="F69" s="562"/>
      <c r="G69" s="562"/>
      <c r="H69" s="562"/>
      <c r="I69" s="563"/>
    </row>
    <row r="70" spans="2:9" ht="12.75">
      <c r="B70" s="556" t="s">
        <v>183</v>
      </c>
      <c r="C70" s="557"/>
      <c r="D70" s="557"/>
      <c r="E70" s="557"/>
      <c r="F70" s="557"/>
      <c r="G70" s="557"/>
      <c r="H70" s="557"/>
      <c r="I70" s="558"/>
    </row>
    <row r="71" spans="2:9" ht="13.5" thickBot="1">
      <c r="B71" s="550"/>
      <c r="C71" s="551"/>
      <c r="D71" s="551"/>
      <c r="E71" s="551"/>
      <c r="F71" s="551"/>
      <c r="G71" s="551"/>
      <c r="H71" s="551"/>
      <c r="I71" s="552"/>
    </row>
    <row r="72" spans="2:9" ht="12.75">
      <c r="B72" s="553" t="s">
        <v>184</v>
      </c>
      <c r="C72" s="554"/>
      <c r="D72" s="554"/>
      <c r="E72" s="554"/>
      <c r="F72" s="554"/>
      <c r="G72" s="554"/>
      <c r="H72" s="554"/>
      <c r="I72" s="555"/>
    </row>
    <row r="73" spans="2:9" ht="12.75">
      <c r="B73" s="556"/>
      <c r="C73" s="557"/>
      <c r="D73" s="557"/>
      <c r="E73" s="557"/>
      <c r="F73" s="557"/>
      <c r="G73" s="557"/>
      <c r="H73" s="557"/>
      <c r="I73" s="558"/>
    </row>
    <row r="74" spans="2:9" ht="12.75">
      <c r="B74" s="556"/>
      <c r="C74" s="557"/>
      <c r="D74" s="557"/>
      <c r="E74" s="557"/>
      <c r="F74" s="557"/>
      <c r="G74" s="557"/>
      <c r="H74" s="557"/>
      <c r="I74" s="558"/>
    </row>
    <row r="75" spans="2:9" ht="13.5" thickBot="1">
      <c r="B75" s="550"/>
      <c r="C75" s="551"/>
      <c r="D75" s="551"/>
      <c r="E75" s="551"/>
      <c r="F75" s="551"/>
      <c r="G75" s="551"/>
      <c r="H75" s="551"/>
      <c r="I75" s="552"/>
    </row>
    <row r="76" spans="2:9" ht="12.75">
      <c r="B76" s="541" t="s">
        <v>185</v>
      </c>
      <c r="C76" s="542"/>
      <c r="D76" s="542"/>
      <c r="E76" s="542"/>
      <c r="F76" s="542"/>
      <c r="G76" s="542"/>
      <c r="H76" s="542"/>
      <c r="I76" s="543"/>
    </row>
    <row r="77" spans="2:9" ht="12.75">
      <c r="B77" s="556"/>
      <c r="C77" s="557"/>
      <c r="D77" s="557"/>
      <c r="E77" s="557"/>
      <c r="F77" s="557"/>
      <c r="G77" s="557"/>
      <c r="H77" s="557"/>
      <c r="I77" s="558"/>
    </row>
    <row r="78" spans="2:9" ht="12.75">
      <c r="B78" s="556"/>
      <c r="C78" s="557"/>
      <c r="D78" s="557"/>
      <c r="E78" s="557"/>
      <c r="F78" s="557"/>
      <c r="G78" s="557"/>
      <c r="H78" s="557"/>
      <c r="I78" s="558"/>
    </row>
    <row r="79" spans="2:9" ht="13.5" thickBot="1">
      <c r="B79" s="550"/>
      <c r="C79" s="551"/>
      <c r="D79" s="551"/>
      <c r="E79" s="551"/>
      <c r="F79" s="551"/>
      <c r="G79" s="551"/>
      <c r="H79" s="551"/>
      <c r="I79" s="552"/>
    </row>
    <row r="80" spans="2:9" ht="12.75">
      <c r="B80" s="541" t="s">
        <v>186</v>
      </c>
      <c r="C80" s="542"/>
      <c r="D80" s="542"/>
      <c r="E80" s="542"/>
      <c r="F80" s="542"/>
      <c r="G80" s="542"/>
      <c r="H80" s="542"/>
      <c r="I80" s="543"/>
    </row>
    <row r="81" spans="2:9" ht="12.75">
      <c r="B81" s="556"/>
      <c r="C81" s="557"/>
      <c r="D81" s="557"/>
      <c r="E81" s="557"/>
      <c r="F81" s="557"/>
      <c r="G81" s="557"/>
      <c r="H81" s="557"/>
      <c r="I81" s="558"/>
    </row>
    <row r="82" spans="2:9" ht="12.75">
      <c r="B82" s="556"/>
      <c r="C82" s="557"/>
      <c r="D82" s="557"/>
      <c r="E82" s="557"/>
      <c r="F82" s="557"/>
      <c r="G82" s="557"/>
      <c r="H82" s="557"/>
      <c r="I82" s="558"/>
    </row>
    <row r="83" spans="2:9" ht="13.5" thickBot="1">
      <c r="B83" s="550"/>
      <c r="C83" s="551"/>
      <c r="D83" s="551"/>
      <c r="E83" s="551"/>
      <c r="F83" s="551"/>
      <c r="G83" s="551"/>
      <c r="H83" s="551"/>
      <c r="I83" s="552"/>
    </row>
    <row r="84" spans="2:9" ht="12.75">
      <c r="B84" s="541" t="s">
        <v>187</v>
      </c>
      <c r="C84" s="542"/>
      <c r="D84" s="542"/>
      <c r="E84" s="542"/>
      <c r="F84" s="542"/>
      <c r="G84" s="542"/>
      <c r="H84" s="542"/>
      <c r="I84" s="543"/>
    </row>
    <row r="85" spans="2:9" ht="12.75">
      <c r="B85" s="544" t="s">
        <v>188</v>
      </c>
      <c r="C85" s="545"/>
      <c r="D85" s="545"/>
      <c r="E85" s="545"/>
      <c r="F85" s="545"/>
      <c r="G85" s="545"/>
      <c r="H85" s="545"/>
      <c r="I85" s="546"/>
    </row>
    <row r="86" spans="2:9" ht="12.75">
      <c r="B86" s="544" t="s">
        <v>189</v>
      </c>
      <c r="C86" s="545"/>
      <c r="D86" s="545"/>
      <c r="E86" s="545"/>
      <c r="F86" s="545"/>
      <c r="G86" s="545"/>
      <c r="H86" s="545"/>
      <c r="I86" s="546"/>
    </row>
    <row r="87" spans="2:9" ht="12.75">
      <c r="B87" s="544" t="s">
        <v>190</v>
      </c>
      <c r="C87" s="545"/>
      <c r="D87" s="545"/>
      <c r="E87" s="545"/>
      <c r="F87" s="545"/>
      <c r="G87" s="545"/>
      <c r="H87" s="545"/>
      <c r="I87" s="546"/>
    </row>
    <row r="88" spans="2:9" ht="13.5" thickBot="1">
      <c r="B88" s="547" t="s">
        <v>191</v>
      </c>
      <c r="C88" s="548"/>
      <c r="D88" s="548"/>
      <c r="E88" s="548"/>
      <c r="F88" s="548"/>
      <c r="G88" s="548"/>
      <c r="H88" s="548"/>
      <c r="I88" s="549"/>
    </row>
    <row r="89" spans="2:9" ht="15">
      <c r="B89" s="308"/>
      <c r="C89" s="308"/>
      <c r="D89" s="308"/>
      <c r="E89" s="308"/>
      <c r="F89" s="308"/>
      <c r="G89" s="308"/>
      <c r="H89" s="308"/>
      <c r="I89" s="308"/>
    </row>
    <row r="90" ht="12.75" hidden="1"/>
    <row r="91" ht="12.75" hidden="1"/>
    <row r="92" ht="12.75" hidden="1"/>
    <row r="93" ht="12.75" hidden="1"/>
  </sheetData>
  <sheetProtection formatRows="0"/>
  <mergeCells count="80">
    <mergeCell ref="D9:E9"/>
    <mergeCell ref="G9:H9"/>
    <mergeCell ref="C4:D4"/>
    <mergeCell ref="C5:F5"/>
    <mergeCell ref="C6:I6"/>
    <mergeCell ref="G7:H7"/>
    <mergeCell ref="D8:E8"/>
    <mergeCell ref="B24:I24"/>
    <mergeCell ref="B10:I10"/>
    <mergeCell ref="B14:I14"/>
    <mergeCell ref="B15:I15"/>
    <mergeCell ref="B16:I16"/>
    <mergeCell ref="B17:I17"/>
    <mergeCell ref="B18:I18"/>
    <mergeCell ref="B19:I19"/>
    <mergeCell ref="B20:I20"/>
    <mergeCell ref="B21:I21"/>
    <mergeCell ref="B22:I22"/>
    <mergeCell ref="B23:I23"/>
    <mergeCell ref="C36:F36"/>
    <mergeCell ref="G36:H36"/>
    <mergeCell ref="B25:I25"/>
    <mergeCell ref="B26:I26"/>
    <mergeCell ref="B27:I27"/>
    <mergeCell ref="B28:I28"/>
    <mergeCell ref="B29:I29"/>
    <mergeCell ref="B30:I30"/>
    <mergeCell ref="B31:I31"/>
    <mergeCell ref="B32:I32"/>
    <mergeCell ref="B33:I33"/>
    <mergeCell ref="B34:I34"/>
    <mergeCell ref="G35:H35"/>
    <mergeCell ref="B37:I37"/>
    <mergeCell ref="B38:I38"/>
    <mergeCell ref="B39:I39"/>
    <mergeCell ref="B40:I40"/>
    <mergeCell ref="C41:E41"/>
    <mergeCell ref="G41:H41"/>
    <mergeCell ref="C42:E42"/>
    <mergeCell ref="G42:H42"/>
    <mergeCell ref="C43:E43"/>
    <mergeCell ref="G43:H43"/>
    <mergeCell ref="C44:E44"/>
    <mergeCell ref="G44:H44"/>
    <mergeCell ref="C45:E45"/>
    <mergeCell ref="G45:H45"/>
    <mergeCell ref="C46:E46"/>
    <mergeCell ref="G46:H46"/>
    <mergeCell ref="C47:E47"/>
    <mergeCell ref="G47:H47"/>
    <mergeCell ref="B71:I71"/>
    <mergeCell ref="C48:E48"/>
    <mergeCell ref="C49:E49"/>
    <mergeCell ref="G49:H49"/>
    <mergeCell ref="C50:E50"/>
    <mergeCell ref="G50:H50"/>
    <mergeCell ref="B66:I66"/>
    <mergeCell ref="B67:I67"/>
    <mergeCell ref="B68:I68"/>
    <mergeCell ref="B69:I69"/>
    <mergeCell ref="B70:I70"/>
    <mergeCell ref="G51:H51"/>
    <mergeCell ref="G48:H48"/>
    <mergeCell ref="B83:I83"/>
    <mergeCell ref="B72:I72"/>
    <mergeCell ref="B73:I73"/>
    <mergeCell ref="B74:I74"/>
    <mergeCell ref="B75:I75"/>
    <mergeCell ref="B76:I76"/>
    <mergeCell ref="B77:I77"/>
    <mergeCell ref="B78:I78"/>
    <mergeCell ref="B79:I79"/>
    <mergeCell ref="B80:I80"/>
    <mergeCell ref="B81:I81"/>
    <mergeCell ref="B82:I82"/>
    <mergeCell ref="B84:I84"/>
    <mergeCell ref="B85:I85"/>
    <mergeCell ref="B86:I86"/>
    <mergeCell ref="B87:I87"/>
    <mergeCell ref="B88:I88"/>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1DAFF"/>
    <pageSetUpPr fitToPage="1"/>
  </sheetPr>
  <dimension ref="A1:Y38"/>
  <sheetViews>
    <sheetView zoomScaleSheetLayoutView="70" workbookViewId="0" topLeftCell="A4"/>
  </sheetViews>
  <sheetFormatPr defaultColWidth="0" defaultRowHeight="0" customHeight="1" zeroHeight="1"/>
  <cols>
    <col min="1" max="1" width="4.7109375" style="9" customWidth="1"/>
    <col min="2" max="2" width="6.7109375" style="9" customWidth="1"/>
    <col min="3" max="3" width="27.57421875" style="9" bestFit="1" customWidth="1"/>
    <col min="4" max="4" width="6.7109375" style="9" customWidth="1"/>
    <col min="5" max="5" width="18.8515625" style="9" customWidth="1"/>
    <col min="6" max="8" width="10.7109375" style="40" customWidth="1"/>
    <col min="9" max="9" width="14.7109375" style="9" customWidth="1"/>
    <col min="10" max="11" width="4.7109375" style="140" customWidth="1"/>
    <col min="12" max="12" width="16.7109375" style="9" customWidth="1"/>
    <col min="13" max="13" width="4.57421875" style="9" customWidth="1"/>
    <col min="14" max="23" width="16.7109375" style="9" customWidth="1"/>
    <col min="24" max="25" width="4.7109375" style="9" customWidth="1"/>
    <col min="26" max="26" width="0" style="9" hidden="1" customWidth="1"/>
    <col min="27" max="16384" width="9.140625" style="9" hidden="1" customWidth="1"/>
  </cols>
  <sheetData>
    <row r="1" spans="1:25" ht="12.75">
      <c r="A1" s="10"/>
      <c r="B1" s="10"/>
      <c r="C1" s="10"/>
      <c r="D1" s="10"/>
      <c r="E1" s="10"/>
      <c r="F1" s="30"/>
      <c r="G1" s="30"/>
      <c r="H1" s="30"/>
      <c r="I1" s="10"/>
      <c r="J1" s="54"/>
      <c r="K1" s="54"/>
      <c r="L1" s="10"/>
      <c r="M1" s="10"/>
      <c r="N1" s="10"/>
      <c r="O1" s="10"/>
      <c r="P1" s="10"/>
      <c r="Q1" s="10"/>
      <c r="R1" s="10"/>
      <c r="S1" s="10"/>
      <c r="T1" s="10"/>
      <c r="U1" s="10"/>
      <c r="V1" s="10"/>
      <c r="W1" s="10"/>
      <c r="X1" s="10"/>
      <c r="Y1" s="10"/>
    </row>
    <row r="2" spans="1:25" ht="12.75">
      <c r="A2" s="10"/>
      <c r="B2" s="11" t="s">
        <v>104</v>
      </c>
      <c r="C2" s="10"/>
      <c r="D2" s="11" t="s">
        <v>261</v>
      </c>
      <c r="E2" s="10"/>
      <c r="F2" s="30"/>
      <c r="G2" s="30"/>
      <c r="H2" s="30"/>
      <c r="I2" s="10"/>
      <c r="J2" s="54"/>
      <c r="K2" s="146"/>
      <c r="L2" s="147"/>
      <c r="M2" s="147"/>
      <c r="N2" s="147"/>
      <c r="O2" s="147"/>
      <c r="P2" s="147"/>
      <c r="Q2" s="147"/>
      <c r="R2" s="147"/>
      <c r="S2" s="147"/>
      <c r="T2" s="147"/>
      <c r="U2" s="147"/>
      <c r="V2" s="147"/>
      <c r="W2" s="147"/>
      <c r="X2" s="147"/>
      <c r="Y2" s="10"/>
    </row>
    <row r="3" spans="1:25" ht="12.75">
      <c r="A3" s="10"/>
      <c r="B3" s="10"/>
      <c r="C3" s="10"/>
      <c r="D3" s="10"/>
      <c r="E3" s="10"/>
      <c r="F3" s="30"/>
      <c r="G3" s="30"/>
      <c r="H3" s="30"/>
      <c r="I3" s="10"/>
      <c r="J3" s="54"/>
      <c r="K3" s="146"/>
      <c r="L3" s="148" t="s">
        <v>128</v>
      </c>
      <c r="M3" s="147"/>
      <c r="N3" s="147"/>
      <c r="O3" s="147"/>
      <c r="P3" s="147"/>
      <c r="Q3" s="147"/>
      <c r="R3" s="147"/>
      <c r="S3" s="147"/>
      <c r="T3" s="147"/>
      <c r="U3" s="147"/>
      <c r="V3" s="147"/>
      <c r="W3" s="147"/>
      <c r="X3" s="147"/>
      <c r="Y3" s="10"/>
    </row>
    <row r="4" spans="1:25" ht="13.5" thickBot="1">
      <c r="A4" s="10"/>
      <c r="B4" s="10"/>
      <c r="C4" s="10"/>
      <c r="D4" s="10"/>
      <c r="E4" s="10"/>
      <c r="F4" s="30"/>
      <c r="G4" s="30"/>
      <c r="H4" s="30"/>
      <c r="I4" s="10"/>
      <c r="J4" s="54"/>
      <c r="K4" s="146"/>
      <c r="L4" s="147"/>
      <c r="M4" s="147"/>
      <c r="N4" s="147"/>
      <c r="O4" s="147"/>
      <c r="P4" s="147"/>
      <c r="Q4" s="147"/>
      <c r="R4" s="147"/>
      <c r="S4" s="147"/>
      <c r="T4" s="147"/>
      <c r="U4" s="147"/>
      <c r="V4" s="147"/>
      <c r="W4" s="147"/>
      <c r="X4" s="147"/>
      <c r="Y4" s="10"/>
    </row>
    <row r="5" spans="1:25" s="8" customFormat="1" ht="38.25" customHeight="1">
      <c r="A5" s="12"/>
      <c r="B5" s="13" t="s">
        <v>35</v>
      </c>
      <c r="C5" s="14" t="s">
        <v>36</v>
      </c>
      <c r="D5" s="14" t="s">
        <v>38</v>
      </c>
      <c r="E5" s="14" t="s">
        <v>37</v>
      </c>
      <c r="F5" s="32" t="s">
        <v>234</v>
      </c>
      <c r="G5" s="32" t="s">
        <v>102</v>
      </c>
      <c r="H5" s="32" t="s">
        <v>103</v>
      </c>
      <c r="I5" s="142" t="s">
        <v>199</v>
      </c>
      <c r="J5" s="143"/>
      <c r="K5" s="149"/>
      <c r="L5" s="150" t="s">
        <v>129</v>
      </c>
      <c r="M5" s="147"/>
      <c r="N5" s="151" t="str">
        <f>"Dopravní rok "&amp;'Technicke hodnoceni'!D17</f>
        <v>Dopravní rok 1</v>
      </c>
      <c r="O5" s="152" t="str">
        <f>"Dopravní rok "&amp;'Technicke hodnoceni'!E17</f>
        <v>Dopravní rok 2</v>
      </c>
      <c r="P5" s="152" t="str">
        <f>"Dopravní rok "&amp;'Technicke hodnoceni'!F17</f>
        <v>Dopravní rok 3</v>
      </c>
      <c r="Q5" s="152" t="str">
        <f>"Dopravní rok "&amp;'Technicke hodnoceni'!G17</f>
        <v>Dopravní rok 4</v>
      </c>
      <c r="R5" s="152" t="str">
        <f>"Dopravní rok "&amp;'Technicke hodnoceni'!H17</f>
        <v>Dopravní rok 5</v>
      </c>
      <c r="S5" s="152" t="str">
        <f>"Dopravní rok "&amp;'Technicke hodnoceni'!I17</f>
        <v>Dopravní rok 6</v>
      </c>
      <c r="T5" s="152" t="str">
        <f>"Dopravní rok "&amp;'Technicke hodnoceni'!J17</f>
        <v>Dopravní rok 7</v>
      </c>
      <c r="U5" s="152" t="str">
        <f>"Dopravní rok "&amp;'Technicke hodnoceni'!K17</f>
        <v>Dopravní rok 8</v>
      </c>
      <c r="V5" s="152" t="str">
        <f>"Dopravní rok "&amp;'Technicke hodnoceni'!L17</f>
        <v>Dopravní rok 9</v>
      </c>
      <c r="W5" s="153" t="str">
        <f>"Dopravní rok "&amp;'Technicke hodnoceni'!M17</f>
        <v>Dopravní rok 10</v>
      </c>
      <c r="X5" s="154"/>
      <c r="Y5" s="12"/>
    </row>
    <row r="6" spans="1:25" s="44" customFormat="1" ht="13.5" thickBot="1">
      <c r="A6" s="41"/>
      <c r="B6" s="42"/>
      <c r="C6" s="34"/>
      <c r="D6" s="34"/>
      <c r="E6" s="34"/>
      <c r="F6" s="34" t="s">
        <v>39</v>
      </c>
      <c r="G6" s="34" t="s">
        <v>39</v>
      </c>
      <c r="H6" s="34" t="s">
        <v>39</v>
      </c>
      <c r="I6" s="43" t="s">
        <v>34</v>
      </c>
      <c r="J6" s="137"/>
      <c r="K6" s="155"/>
      <c r="L6" s="156" t="s">
        <v>32</v>
      </c>
      <c r="M6" s="147"/>
      <c r="N6" s="157" t="s">
        <v>32</v>
      </c>
      <c r="O6" s="158" t="s">
        <v>32</v>
      </c>
      <c r="P6" s="158" t="s">
        <v>32</v>
      </c>
      <c r="Q6" s="158" t="s">
        <v>32</v>
      </c>
      <c r="R6" s="158" t="s">
        <v>32</v>
      </c>
      <c r="S6" s="158" t="s">
        <v>32</v>
      </c>
      <c r="T6" s="158" t="s">
        <v>32</v>
      </c>
      <c r="U6" s="158" t="s">
        <v>32</v>
      </c>
      <c r="V6" s="158" t="s">
        <v>32</v>
      </c>
      <c r="W6" s="159" t="s">
        <v>32</v>
      </c>
      <c r="X6" s="160"/>
      <c r="Y6" s="41"/>
    </row>
    <row r="7" spans="1:25" ht="13.5" thickTop="1">
      <c r="A7" s="10"/>
      <c r="B7" s="15">
        <v>11</v>
      </c>
      <c r="C7" s="16" t="s">
        <v>124</v>
      </c>
      <c r="D7" s="17" t="s">
        <v>22</v>
      </c>
      <c r="E7" s="18" t="s">
        <v>119</v>
      </c>
      <c r="F7" s="115"/>
      <c r="G7" s="115"/>
      <c r="H7" s="115"/>
      <c r="I7" s="240"/>
      <c r="J7" s="138"/>
      <c r="K7" s="161"/>
      <c r="L7" s="202"/>
      <c r="M7" s="147"/>
      <c r="N7" s="179"/>
      <c r="O7" s="180"/>
      <c r="P7" s="180"/>
      <c r="Q7" s="180"/>
      <c r="R7" s="180"/>
      <c r="S7" s="180"/>
      <c r="T7" s="180"/>
      <c r="U7" s="180"/>
      <c r="V7" s="180"/>
      <c r="W7" s="181"/>
      <c r="X7" s="147"/>
      <c r="Y7" s="10"/>
    </row>
    <row r="8" spans="1:25" ht="12.75">
      <c r="A8" s="10"/>
      <c r="B8" s="19"/>
      <c r="C8" s="20"/>
      <c r="D8" s="21" t="s">
        <v>23</v>
      </c>
      <c r="E8" s="22" t="s">
        <v>108</v>
      </c>
      <c r="F8" s="115"/>
      <c r="G8" s="115"/>
      <c r="H8" s="115"/>
      <c r="I8" s="240"/>
      <c r="J8" s="138"/>
      <c r="K8" s="161"/>
      <c r="L8" s="144"/>
      <c r="M8" s="147"/>
      <c r="N8" s="179"/>
      <c r="O8" s="180"/>
      <c r="P8" s="180"/>
      <c r="Q8" s="180"/>
      <c r="R8" s="180"/>
      <c r="S8" s="180"/>
      <c r="T8" s="180"/>
      <c r="U8" s="180"/>
      <c r="V8" s="180"/>
      <c r="W8" s="181"/>
      <c r="X8" s="147"/>
      <c r="Y8" s="10"/>
    </row>
    <row r="9" spans="1:25" ht="12.75">
      <c r="A9" s="10"/>
      <c r="B9" s="19"/>
      <c r="C9" s="20"/>
      <c r="D9" s="21" t="s">
        <v>24</v>
      </c>
      <c r="E9" s="22" t="s">
        <v>260</v>
      </c>
      <c r="F9" s="35">
        <f>'Cenova nabidka CELKOVA'!F8</f>
        <v>1</v>
      </c>
      <c r="G9" s="35">
        <f>'Cenova nabidka CELKOVA'!G8</f>
        <v>0</v>
      </c>
      <c r="H9" s="35">
        <f>100%-F9-G9</f>
        <v>0</v>
      </c>
      <c r="I9" s="239">
        <f>ROUND('NABIDKA DOPRAVCE'!L13,3)</f>
        <v>0</v>
      </c>
      <c r="J9" s="138"/>
      <c r="K9" s="161"/>
      <c r="L9" s="166">
        <f aca="true" t="shared" si="0" ref="L9:L27">$I9*L$34</f>
        <v>0</v>
      </c>
      <c r="M9" s="147"/>
      <c r="N9" s="163">
        <f aca="true" t="shared" si="1" ref="N9:W18">$I9*N$34</f>
        <v>0</v>
      </c>
      <c r="O9" s="164">
        <f t="shared" si="1"/>
        <v>0</v>
      </c>
      <c r="P9" s="164">
        <f t="shared" si="1"/>
        <v>0</v>
      </c>
      <c r="Q9" s="164">
        <f t="shared" si="1"/>
        <v>0</v>
      </c>
      <c r="R9" s="164">
        <f t="shared" si="1"/>
        <v>0</v>
      </c>
      <c r="S9" s="164">
        <f t="shared" si="1"/>
        <v>0</v>
      </c>
      <c r="T9" s="164">
        <f t="shared" si="1"/>
        <v>0</v>
      </c>
      <c r="U9" s="164">
        <f t="shared" si="1"/>
        <v>0</v>
      </c>
      <c r="V9" s="164">
        <f t="shared" si="1"/>
        <v>0</v>
      </c>
      <c r="W9" s="165">
        <f t="shared" si="1"/>
        <v>0</v>
      </c>
      <c r="X9" s="147"/>
      <c r="Y9" s="10"/>
    </row>
    <row r="10" spans="1:25" ht="12.75">
      <c r="A10" s="10"/>
      <c r="B10" s="23"/>
      <c r="C10" s="18"/>
      <c r="D10" s="21" t="s">
        <v>123</v>
      </c>
      <c r="E10" s="22" t="s">
        <v>25</v>
      </c>
      <c r="F10" s="35">
        <f>'Cenova nabidka CELKOVA'!F9</f>
        <v>1</v>
      </c>
      <c r="G10" s="35">
        <f>'Cenova nabidka CELKOVA'!G9</f>
        <v>0</v>
      </c>
      <c r="H10" s="35">
        <f aca="true" t="shared" si="2" ref="H10:H27">100%-F10-G10</f>
        <v>0</v>
      </c>
      <c r="I10" s="241">
        <f>ROUND('NABIDKA DOPRAVCE'!L14,3)</f>
        <v>0</v>
      </c>
      <c r="J10" s="138"/>
      <c r="K10" s="161"/>
      <c r="L10" s="162">
        <f t="shared" si="0"/>
        <v>0</v>
      </c>
      <c r="M10" s="147"/>
      <c r="N10" s="163">
        <f t="shared" si="1"/>
        <v>0</v>
      </c>
      <c r="O10" s="164">
        <f t="shared" si="1"/>
        <v>0</v>
      </c>
      <c r="P10" s="164">
        <f t="shared" si="1"/>
        <v>0</v>
      </c>
      <c r="Q10" s="164">
        <f t="shared" si="1"/>
        <v>0</v>
      </c>
      <c r="R10" s="164">
        <f t="shared" si="1"/>
        <v>0</v>
      </c>
      <c r="S10" s="164">
        <f t="shared" si="1"/>
        <v>0</v>
      </c>
      <c r="T10" s="164">
        <f t="shared" si="1"/>
        <v>0</v>
      </c>
      <c r="U10" s="164">
        <f t="shared" si="1"/>
        <v>0</v>
      </c>
      <c r="V10" s="164">
        <f t="shared" si="1"/>
        <v>0</v>
      </c>
      <c r="W10" s="165">
        <f t="shared" si="1"/>
        <v>0</v>
      </c>
      <c r="X10" s="147"/>
      <c r="Y10" s="10"/>
    </row>
    <row r="11" spans="1:25" ht="12.75">
      <c r="A11" s="10"/>
      <c r="B11" s="24">
        <v>12</v>
      </c>
      <c r="C11" s="47" t="s">
        <v>8</v>
      </c>
      <c r="D11" s="49"/>
      <c r="E11" s="48"/>
      <c r="F11" s="35">
        <f>'Cenova nabidka CELKOVA'!F10</f>
        <v>1</v>
      </c>
      <c r="G11" s="35">
        <f>'Cenova nabidka CELKOVA'!G10</f>
        <v>0</v>
      </c>
      <c r="H11" s="35">
        <f t="shared" si="2"/>
        <v>0</v>
      </c>
      <c r="I11" s="241">
        <f>ROUND('NABIDKA DOPRAVCE'!L15,3)</f>
        <v>0</v>
      </c>
      <c r="J11" s="138"/>
      <c r="K11" s="161"/>
      <c r="L11" s="162">
        <f t="shared" si="0"/>
        <v>0</v>
      </c>
      <c r="M11" s="147"/>
      <c r="N11" s="163">
        <f t="shared" si="1"/>
        <v>0</v>
      </c>
      <c r="O11" s="164">
        <f t="shared" si="1"/>
        <v>0</v>
      </c>
      <c r="P11" s="164">
        <f t="shared" si="1"/>
        <v>0</v>
      </c>
      <c r="Q11" s="164">
        <f t="shared" si="1"/>
        <v>0</v>
      </c>
      <c r="R11" s="164">
        <f t="shared" si="1"/>
        <v>0</v>
      </c>
      <c r="S11" s="164">
        <f t="shared" si="1"/>
        <v>0</v>
      </c>
      <c r="T11" s="164">
        <f t="shared" si="1"/>
        <v>0</v>
      </c>
      <c r="U11" s="164">
        <f t="shared" si="1"/>
        <v>0</v>
      </c>
      <c r="V11" s="164">
        <f t="shared" si="1"/>
        <v>0</v>
      </c>
      <c r="W11" s="165">
        <f t="shared" si="1"/>
        <v>0</v>
      </c>
      <c r="X11" s="147"/>
      <c r="Y11" s="10"/>
    </row>
    <row r="12" spans="1:25" ht="12.75">
      <c r="A12" s="10"/>
      <c r="B12" s="24">
        <v>13</v>
      </c>
      <c r="C12" s="47" t="s">
        <v>9</v>
      </c>
      <c r="D12" s="49"/>
      <c r="E12" s="48"/>
      <c r="F12" s="36">
        <f>'Cenova nabidka CELKOVA'!F11</f>
        <v>1</v>
      </c>
      <c r="G12" s="36">
        <f>'Cenova nabidka CELKOVA'!G11</f>
        <v>0</v>
      </c>
      <c r="H12" s="36">
        <f t="shared" si="2"/>
        <v>0</v>
      </c>
      <c r="I12" s="241">
        <f>ROUND('NABIDKA DOPRAVCE'!L16,3)</f>
        <v>0</v>
      </c>
      <c r="J12" s="138"/>
      <c r="K12" s="161"/>
      <c r="L12" s="162">
        <f t="shared" si="0"/>
        <v>0</v>
      </c>
      <c r="M12" s="147"/>
      <c r="N12" s="167">
        <f t="shared" si="1"/>
        <v>0</v>
      </c>
      <c r="O12" s="168">
        <f t="shared" si="1"/>
        <v>0</v>
      </c>
      <c r="P12" s="168">
        <f t="shared" si="1"/>
        <v>0</v>
      </c>
      <c r="Q12" s="168">
        <f t="shared" si="1"/>
        <v>0</v>
      </c>
      <c r="R12" s="168">
        <f t="shared" si="1"/>
        <v>0</v>
      </c>
      <c r="S12" s="168">
        <f t="shared" si="1"/>
        <v>0</v>
      </c>
      <c r="T12" s="168">
        <f t="shared" si="1"/>
        <v>0</v>
      </c>
      <c r="U12" s="168">
        <f t="shared" si="1"/>
        <v>0</v>
      </c>
      <c r="V12" s="168">
        <f t="shared" si="1"/>
        <v>0</v>
      </c>
      <c r="W12" s="169">
        <f t="shared" si="1"/>
        <v>0</v>
      </c>
      <c r="X12" s="147"/>
      <c r="Y12" s="10"/>
    </row>
    <row r="13" spans="1:25" ht="12.75">
      <c r="A13" s="10"/>
      <c r="B13" s="25">
        <v>14</v>
      </c>
      <c r="C13" s="26" t="s">
        <v>10</v>
      </c>
      <c r="D13" s="21" t="s">
        <v>28</v>
      </c>
      <c r="E13" s="22" t="s">
        <v>26</v>
      </c>
      <c r="F13" s="36">
        <f>'Cenova nabidka CELKOVA'!F12</f>
        <v>0</v>
      </c>
      <c r="G13" s="36">
        <f>'Cenova nabidka CELKOVA'!G12</f>
        <v>1</v>
      </c>
      <c r="H13" s="36">
        <f t="shared" si="2"/>
        <v>0</v>
      </c>
      <c r="I13" s="241">
        <f>ROUND('NABIDKA DOPRAVCE'!L17,3)</f>
        <v>0</v>
      </c>
      <c r="J13" s="138"/>
      <c r="K13" s="161"/>
      <c r="L13" s="162">
        <f t="shared" si="0"/>
        <v>0</v>
      </c>
      <c r="M13" s="147"/>
      <c r="N13" s="167">
        <f t="shared" si="1"/>
        <v>0</v>
      </c>
      <c r="O13" s="168">
        <f t="shared" si="1"/>
        <v>0</v>
      </c>
      <c r="P13" s="168">
        <f t="shared" si="1"/>
        <v>0</v>
      </c>
      <c r="Q13" s="168">
        <f t="shared" si="1"/>
        <v>0</v>
      </c>
      <c r="R13" s="168">
        <f t="shared" si="1"/>
        <v>0</v>
      </c>
      <c r="S13" s="168">
        <f t="shared" si="1"/>
        <v>0</v>
      </c>
      <c r="T13" s="168">
        <f t="shared" si="1"/>
        <v>0</v>
      </c>
      <c r="U13" s="168">
        <f t="shared" si="1"/>
        <v>0</v>
      </c>
      <c r="V13" s="168">
        <f t="shared" si="1"/>
        <v>0</v>
      </c>
      <c r="W13" s="169">
        <f t="shared" si="1"/>
        <v>0</v>
      </c>
      <c r="X13" s="147"/>
      <c r="Y13" s="10"/>
    </row>
    <row r="14" spans="1:25" ht="12.75">
      <c r="A14" s="10"/>
      <c r="B14" s="23"/>
      <c r="C14" s="18"/>
      <c r="D14" s="21" t="s">
        <v>29</v>
      </c>
      <c r="E14" s="22" t="s">
        <v>25</v>
      </c>
      <c r="F14" s="36">
        <f>'Cenova nabidka CELKOVA'!F13</f>
        <v>0</v>
      </c>
      <c r="G14" s="36">
        <f>'Cenova nabidka CELKOVA'!G13</f>
        <v>0</v>
      </c>
      <c r="H14" s="36">
        <f t="shared" si="2"/>
        <v>1</v>
      </c>
      <c r="I14" s="241">
        <f>ROUND('NABIDKA DOPRAVCE'!L18,3)</f>
        <v>0</v>
      </c>
      <c r="J14" s="138"/>
      <c r="K14" s="161"/>
      <c r="L14" s="162">
        <f t="shared" si="0"/>
        <v>0</v>
      </c>
      <c r="M14" s="147"/>
      <c r="N14" s="167">
        <f t="shared" si="1"/>
        <v>0</v>
      </c>
      <c r="O14" s="168">
        <f t="shared" si="1"/>
        <v>0</v>
      </c>
      <c r="P14" s="168">
        <f t="shared" si="1"/>
        <v>0</v>
      </c>
      <c r="Q14" s="168">
        <f t="shared" si="1"/>
        <v>0</v>
      </c>
      <c r="R14" s="168">
        <f t="shared" si="1"/>
        <v>0</v>
      </c>
      <c r="S14" s="168">
        <f t="shared" si="1"/>
        <v>0</v>
      </c>
      <c r="T14" s="168">
        <f t="shared" si="1"/>
        <v>0</v>
      </c>
      <c r="U14" s="168">
        <f t="shared" si="1"/>
        <v>0</v>
      </c>
      <c r="V14" s="168">
        <f t="shared" si="1"/>
        <v>0</v>
      </c>
      <c r="W14" s="169">
        <f t="shared" si="1"/>
        <v>0</v>
      </c>
      <c r="X14" s="147"/>
      <c r="Y14" s="10"/>
    </row>
    <row r="15" spans="1:25" ht="12.75">
      <c r="A15" s="10"/>
      <c r="B15" s="24">
        <v>15</v>
      </c>
      <c r="C15" s="47" t="s">
        <v>42</v>
      </c>
      <c r="D15" s="49"/>
      <c r="E15" s="48"/>
      <c r="F15" s="36">
        <f>'Cenova nabidka CELKOVA'!F14</f>
        <v>0</v>
      </c>
      <c r="G15" s="36">
        <f>'Cenova nabidka CELKOVA'!G14</f>
        <v>1</v>
      </c>
      <c r="H15" s="36">
        <f t="shared" si="2"/>
        <v>0</v>
      </c>
      <c r="I15" s="241">
        <f>ROUND('NABIDKA DOPRAVCE'!L19,3)</f>
        <v>0</v>
      </c>
      <c r="J15" s="138"/>
      <c r="K15" s="161"/>
      <c r="L15" s="162">
        <f t="shared" si="0"/>
        <v>0</v>
      </c>
      <c r="M15" s="147"/>
      <c r="N15" s="167">
        <f t="shared" si="1"/>
        <v>0</v>
      </c>
      <c r="O15" s="168">
        <f t="shared" si="1"/>
        <v>0</v>
      </c>
      <c r="P15" s="168">
        <f t="shared" si="1"/>
        <v>0</v>
      </c>
      <c r="Q15" s="168">
        <f t="shared" si="1"/>
        <v>0</v>
      </c>
      <c r="R15" s="168">
        <f t="shared" si="1"/>
        <v>0</v>
      </c>
      <c r="S15" s="168">
        <f t="shared" si="1"/>
        <v>0</v>
      </c>
      <c r="T15" s="168">
        <f t="shared" si="1"/>
        <v>0</v>
      </c>
      <c r="U15" s="168">
        <f t="shared" si="1"/>
        <v>0</v>
      </c>
      <c r="V15" s="168">
        <f t="shared" si="1"/>
        <v>0</v>
      </c>
      <c r="W15" s="169">
        <f t="shared" si="1"/>
        <v>0</v>
      </c>
      <c r="X15" s="147"/>
      <c r="Y15" s="10"/>
    </row>
    <row r="16" spans="1:25" ht="12.75">
      <c r="A16" s="10"/>
      <c r="B16" s="25">
        <v>16</v>
      </c>
      <c r="C16" s="26" t="s">
        <v>11</v>
      </c>
      <c r="D16" s="21" t="s">
        <v>30</v>
      </c>
      <c r="E16" s="22" t="s">
        <v>27</v>
      </c>
      <c r="F16" s="35">
        <f>'Cenova nabidka CELKOVA'!F15</f>
        <v>0.67</v>
      </c>
      <c r="G16" s="35">
        <f>'Cenova nabidka CELKOVA'!G15</f>
        <v>0.33</v>
      </c>
      <c r="H16" s="35">
        <f t="shared" si="2"/>
        <v>0</v>
      </c>
      <c r="I16" s="241">
        <f>ROUND('NABIDKA DOPRAVCE'!L20,3)</f>
        <v>0</v>
      </c>
      <c r="J16" s="138"/>
      <c r="K16" s="161"/>
      <c r="L16" s="162">
        <f t="shared" si="0"/>
        <v>0</v>
      </c>
      <c r="M16" s="147"/>
      <c r="N16" s="163">
        <f t="shared" si="1"/>
        <v>0</v>
      </c>
      <c r="O16" s="164">
        <f t="shared" si="1"/>
        <v>0</v>
      </c>
      <c r="P16" s="164">
        <f t="shared" si="1"/>
        <v>0</v>
      </c>
      <c r="Q16" s="164">
        <f t="shared" si="1"/>
        <v>0</v>
      </c>
      <c r="R16" s="164">
        <f t="shared" si="1"/>
        <v>0</v>
      </c>
      <c r="S16" s="164">
        <f t="shared" si="1"/>
        <v>0</v>
      </c>
      <c r="T16" s="164">
        <f t="shared" si="1"/>
        <v>0</v>
      </c>
      <c r="U16" s="164">
        <f t="shared" si="1"/>
        <v>0</v>
      </c>
      <c r="V16" s="164">
        <f t="shared" si="1"/>
        <v>0</v>
      </c>
      <c r="W16" s="165">
        <f t="shared" si="1"/>
        <v>0</v>
      </c>
      <c r="X16" s="147"/>
      <c r="Y16" s="10"/>
    </row>
    <row r="17" spans="1:25" ht="12.75">
      <c r="A17" s="10"/>
      <c r="B17" s="19"/>
      <c r="C17" s="20"/>
      <c r="D17" s="21" t="s">
        <v>31</v>
      </c>
      <c r="E17" s="22" t="s">
        <v>25</v>
      </c>
      <c r="F17" s="36">
        <f>'Cenova nabidka CELKOVA'!F16</f>
        <v>0.67</v>
      </c>
      <c r="G17" s="36">
        <f>'Cenova nabidka CELKOVA'!G16</f>
        <v>0</v>
      </c>
      <c r="H17" s="36">
        <f t="shared" si="2"/>
        <v>0.32999999999999996</v>
      </c>
      <c r="I17" s="241">
        <f>ROUND('NABIDKA DOPRAVCE'!L21,3)</f>
        <v>0</v>
      </c>
      <c r="J17" s="138"/>
      <c r="K17" s="161"/>
      <c r="L17" s="162">
        <f t="shared" si="0"/>
        <v>0</v>
      </c>
      <c r="M17" s="147"/>
      <c r="N17" s="167">
        <f t="shared" si="1"/>
        <v>0</v>
      </c>
      <c r="O17" s="168">
        <f t="shared" si="1"/>
        <v>0</v>
      </c>
      <c r="P17" s="168">
        <f t="shared" si="1"/>
        <v>0</v>
      </c>
      <c r="Q17" s="168">
        <f t="shared" si="1"/>
        <v>0</v>
      </c>
      <c r="R17" s="168">
        <f t="shared" si="1"/>
        <v>0</v>
      </c>
      <c r="S17" s="168">
        <f t="shared" si="1"/>
        <v>0</v>
      </c>
      <c r="T17" s="168">
        <f t="shared" si="1"/>
        <v>0</v>
      </c>
      <c r="U17" s="168">
        <f t="shared" si="1"/>
        <v>0</v>
      </c>
      <c r="V17" s="168">
        <f t="shared" si="1"/>
        <v>0</v>
      </c>
      <c r="W17" s="169">
        <f t="shared" si="1"/>
        <v>0</v>
      </c>
      <c r="X17" s="147"/>
      <c r="Y17" s="10"/>
    </row>
    <row r="18" spans="1:25" ht="12.75">
      <c r="A18" s="10"/>
      <c r="B18" s="23">
        <v>17</v>
      </c>
      <c r="C18" s="18" t="s">
        <v>12</v>
      </c>
      <c r="D18" s="21" t="s">
        <v>40</v>
      </c>
      <c r="E18" s="22" t="s">
        <v>27</v>
      </c>
      <c r="F18" s="36">
        <f>'Cenova nabidka CELKOVA'!F17</f>
        <v>0.67</v>
      </c>
      <c r="G18" s="36">
        <f>'Cenova nabidka CELKOVA'!G17</f>
        <v>0.33</v>
      </c>
      <c r="H18" s="36">
        <f t="shared" si="2"/>
        <v>0</v>
      </c>
      <c r="I18" s="241">
        <f>ROUND('NABIDKA DOPRAVCE'!L22,3)</f>
        <v>0</v>
      </c>
      <c r="J18" s="138"/>
      <c r="K18" s="161"/>
      <c r="L18" s="162">
        <f t="shared" si="0"/>
        <v>0</v>
      </c>
      <c r="M18" s="147"/>
      <c r="N18" s="167">
        <f t="shared" si="1"/>
        <v>0</v>
      </c>
      <c r="O18" s="168">
        <f t="shared" si="1"/>
        <v>0</v>
      </c>
      <c r="P18" s="168">
        <f t="shared" si="1"/>
        <v>0</v>
      </c>
      <c r="Q18" s="168">
        <f t="shared" si="1"/>
        <v>0</v>
      </c>
      <c r="R18" s="168">
        <f t="shared" si="1"/>
        <v>0</v>
      </c>
      <c r="S18" s="168">
        <f t="shared" si="1"/>
        <v>0</v>
      </c>
      <c r="T18" s="168">
        <f t="shared" si="1"/>
        <v>0</v>
      </c>
      <c r="U18" s="168">
        <f t="shared" si="1"/>
        <v>0</v>
      </c>
      <c r="V18" s="168">
        <f t="shared" si="1"/>
        <v>0</v>
      </c>
      <c r="W18" s="169">
        <f t="shared" si="1"/>
        <v>0</v>
      </c>
      <c r="X18" s="147"/>
      <c r="Y18" s="10"/>
    </row>
    <row r="19" spans="1:25" ht="12.75">
      <c r="A19" s="10"/>
      <c r="B19" s="24"/>
      <c r="C19" s="22"/>
      <c r="D19" s="21" t="s">
        <v>41</v>
      </c>
      <c r="E19" s="22" t="s">
        <v>25</v>
      </c>
      <c r="F19" s="36">
        <f>'Cenova nabidka CELKOVA'!F18</f>
        <v>0.67</v>
      </c>
      <c r="G19" s="36">
        <f>'Cenova nabidka CELKOVA'!G18</f>
        <v>0</v>
      </c>
      <c r="H19" s="36">
        <f t="shared" si="2"/>
        <v>0.32999999999999996</v>
      </c>
      <c r="I19" s="241">
        <f>ROUND('NABIDKA DOPRAVCE'!L23,3)</f>
        <v>0</v>
      </c>
      <c r="J19" s="138"/>
      <c r="K19" s="161"/>
      <c r="L19" s="162">
        <f t="shared" si="0"/>
        <v>0</v>
      </c>
      <c r="M19" s="147"/>
      <c r="N19" s="167">
        <f aca="true" t="shared" si="3" ref="N19:W27">$I19*N$34</f>
        <v>0</v>
      </c>
      <c r="O19" s="168">
        <f t="shared" si="3"/>
        <v>0</v>
      </c>
      <c r="P19" s="168">
        <f t="shared" si="3"/>
        <v>0</v>
      </c>
      <c r="Q19" s="168">
        <f t="shared" si="3"/>
        <v>0</v>
      </c>
      <c r="R19" s="168">
        <f t="shared" si="3"/>
        <v>0</v>
      </c>
      <c r="S19" s="168">
        <f t="shared" si="3"/>
        <v>0</v>
      </c>
      <c r="T19" s="168">
        <f t="shared" si="3"/>
        <v>0</v>
      </c>
      <c r="U19" s="168">
        <f t="shared" si="3"/>
        <v>0</v>
      </c>
      <c r="V19" s="168">
        <f t="shared" si="3"/>
        <v>0</v>
      </c>
      <c r="W19" s="169">
        <f t="shared" si="3"/>
        <v>0</v>
      </c>
      <c r="X19" s="147"/>
      <c r="Y19" s="10"/>
    </row>
    <row r="20" spans="1:25" ht="12.75">
      <c r="A20" s="10"/>
      <c r="B20" s="24">
        <v>18</v>
      </c>
      <c r="C20" s="47" t="s">
        <v>13</v>
      </c>
      <c r="D20" s="49"/>
      <c r="E20" s="48"/>
      <c r="F20" s="36">
        <f>'Cenova nabidka CELKOVA'!F19</f>
        <v>0.65</v>
      </c>
      <c r="G20" s="36">
        <f>'Cenova nabidka CELKOVA'!G19</f>
        <v>0</v>
      </c>
      <c r="H20" s="36">
        <f t="shared" si="2"/>
        <v>0.35</v>
      </c>
      <c r="I20" s="241">
        <f>ROUND('NABIDKA DOPRAVCE'!L24,3)</f>
        <v>0</v>
      </c>
      <c r="J20" s="138"/>
      <c r="K20" s="161"/>
      <c r="L20" s="162">
        <f t="shared" si="0"/>
        <v>0</v>
      </c>
      <c r="M20" s="147"/>
      <c r="N20" s="167">
        <f t="shared" si="3"/>
        <v>0</v>
      </c>
      <c r="O20" s="168">
        <f t="shared" si="3"/>
        <v>0</v>
      </c>
      <c r="P20" s="168">
        <f t="shared" si="3"/>
        <v>0</v>
      </c>
      <c r="Q20" s="168">
        <f t="shared" si="3"/>
        <v>0</v>
      </c>
      <c r="R20" s="168">
        <f t="shared" si="3"/>
        <v>0</v>
      </c>
      <c r="S20" s="168">
        <f t="shared" si="3"/>
        <v>0</v>
      </c>
      <c r="T20" s="168">
        <f t="shared" si="3"/>
        <v>0</v>
      </c>
      <c r="U20" s="168">
        <f t="shared" si="3"/>
        <v>0</v>
      </c>
      <c r="V20" s="168">
        <f t="shared" si="3"/>
        <v>0</v>
      </c>
      <c r="W20" s="169">
        <f t="shared" si="3"/>
        <v>0</v>
      </c>
      <c r="X20" s="147"/>
      <c r="Y20" s="10"/>
    </row>
    <row r="21" spans="1:25" ht="12.75">
      <c r="A21" s="10"/>
      <c r="B21" s="24">
        <v>19</v>
      </c>
      <c r="C21" s="47" t="s">
        <v>14</v>
      </c>
      <c r="D21" s="49"/>
      <c r="E21" s="48"/>
      <c r="F21" s="36">
        <f>'Cenova nabidka CELKOVA'!F20</f>
        <v>1</v>
      </c>
      <c r="G21" s="36">
        <f>'Cenova nabidka CELKOVA'!G20</f>
        <v>0</v>
      </c>
      <c r="H21" s="36">
        <f t="shared" si="2"/>
        <v>0</v>
      </c>
      <c r="I21" s="241">
        <f>ROUND('NABIDKA DOPRAVCE'!L25,3)</f>
        <v>0</v>
      </c>
      <c r="J21" s="138"/>
      <c r="K21" s="161"/>
      <c r="L21" s="162">
        <f t="shared" si="0"/>
        <v>0</v>
      </c>
      <c r="M21" s="147"/>
      <c r="N21" s="167">
        <f t="shared" si="3"/>
        <v>0</v>
      </c>
      <c r="O21" s="168">
        <f t="shared" si="3"/>
        <v>0</v>
      </c>
      <c r="P21" s="168">
        <f t="shared" si="3"/>
        <v>0</v>
      </c>
      <c r="Q21" s="168">
        <f t="shared" si="3"/>
        <v>0</v>
      </c>
      <c r="R21" s="168">
        <f t="shared" si="3"/>
        <v>0</v>
      </c>
      <c r="S21" s="168">
        <f t="shared" si="3"/>
        <v>0</v>
      </c>
      <c r="T21" s="168">
        <f t="shared" si="3"/>
        <v>0</v>
      </c>
      <c r="U21" s="168">
        <f t="shared" si="3"/>
        <v>0</v>
      </c>
      <c r="V21" s="168">
        <f t="shared" si="3"/>
        <v>0</v>
      </c>
      <c r="W21" s="169">
        <f t="shared" si="3"/>
        <v>0</v>
      </c>
      <c r="X21" s="147"/>
      <c r="Y21" s="10"/>
    </row>
    <row r="22" spans="1:25" ht="12.75">
      <c r="A22" s="10"/>
      <c r="B22" s="24">
        <v>20</v>
      </c>
      <c r="C22" s="47" t="s">
        <v>15</v>
      </c>
      <c r="D22" s="49"/>
      <c r="E22" s="48"/>
      <c r="F22" s="36">
        <f>'Cenova nabidka CELKOVA'!F21</f>
        <v>0</v>
      </c>
      <c r="G22" s="36">
        <f>'Cenova nabidka CELKOVA'!G21</f>
        <v>1</v>
      </c>
      <c r="H22" s="36">
        <f t="shared" si="2"/>
        <v>0</v>
      </c>
      <c r="I22" s="241">
        <f>ROUND('NABIDKA DOPRAVCE'!L26,3)</f>
        <v>0</v>
      </c>
      <c r="J22" s="138"/>
      <c r="K22" s="161"/>
      <c r="L22" s="162">
        <f t="shared" si="0"/>
        <v>0</v>
      </c>
      <c r="M22" s="147"/>
      <c r="N22" s="167">
        <f t="shared" si="3"/>
        <v>0</v>
      </c>
      <c r="O22" s="168">
        <f t="shared" si="3"/>
        <v>0</v>
      </c>
      <c r="P22" s="168">
        <f t="shared" si="3"/>
        <v>0</v>
      </c>
      <c r="Q22" s="168">
        <f t="shared" si="3"/>
        <v>0</v>
      </c>
      <c r="R22" s="168">
        <f t="shared" si="3"/>
        <v>0</v>
      </c>
      <c r="S22" s="168">
        <f t="shared" si="3"/>
        <v>0</v>
      </c>
      <c r="T22" s="168">
        <f t="shared" si="3"/>
        <v>0</v>
      </c>
      <c r="U22" s="168">
        <f t="shared" si="3"/>
        <v>0</v>
      </c>
      <c r="V22" s="168">
        <f t="shared" si="3"/>
        <v>0</v>
      </c>
      <c r="W22" s="169">
        <f t="shared" si="3"/>
        <v>0</v>
      </c>
      <c r="X22" s="147"/>
      <c r="Y22" s="10"/>
    </row>
    <row r="23" spans="1:25" ht="12.75">
      <c r="A23" s="10"/>
      <c r="B23" s="24">
        <v>21</v>
      </c>
      <c r="C23" s="47" t="s">
        <v>16</v>
      </c>
      <c r="D23" s="49"/>
      <c r="E23" s="48"/>
      <c r="F23" s="36">
        <f>'Cenova nabidka CELKOVA'!F22</f>
        <v>1</v>
      </c>
      <c r="G23" s="36">
        <f>'Cenova nabidka CELKOVA'!G22</f>
        <v>0</v>
      </c>
      <c r="H23" s="36">
        <f t="shared" si="2"/>
        <v>0</v>
      </c>
      <c r="I23" s="241">
        <f>ROUND('NABIDKA DOPRAVCE'!L27,3)</f>
        <v>0.032</v>
      </c>
      <c r="J23" s="138"/>
      <c r="K23" s="161"/>
      <c r="L23" s="162">
        <f t="shared" si="0"/>
        <v>0</v>
      </c>
      <c r="M23" s="147"/>
      <c r="N23" s="167">
        <f t="shared" si="3"/>
        <v>0</v>
      </c>
      <c r="O23" s="168">
        <f t="shared" si="3"/>
        <v>0</v>
      </c>
      <c r="P23" s="168">
        <f t="shared" si="3"/>
        <v>0</v>
      </c>
      <c r="Q23" s="168">
        <f t="shared" si="3"/>
        <v>0</v>
      </c>
      <c r="R23" s="168">
        <f t="shared" si="3"/>
        <v>0</v>
      </c>
      <c r="S23" s="168">
        <f t="shared" si="3"/>
        <v>0</v>
      </c>
      <c r="T23" s="168">
        <f t="shared" si="3"/>
        <v>0</v>
      </c>
      <c r="U23" s="168">
        <f t="shared" si="3"/>
        <v>0</v>
      </c>
      <c r="V23" s="168">
        <f t="shared" si="3"/>
        <v>0</v>
      </c>
      <c r="W23" s="169">
        <f t="shared" si="3"/>
        <v>0</v>
      </c>
      <c r="X23" s="147"/>
      <c r="Y23" s="10"/>
    </row>
    <row r="24" spans="1:25" ht="12.75">
      <c r="A24" s="10"/>
      <c r="B24" s="24">
        <v>22</v>
      </c>
      <c r="C24" s="47" t="s">
        <v>17</v>
      </c>
      <c r="D24" s="49"/>
      <c r="E24" s="48"/>
      <c r="F24" s="36">
        <f>'Cenova nabidka CELKOVA'!F23</f>
        <v>0</v>
      </c>
      <c r="G24" s="36">
        <f>'Cenova nabidka CELKOVA'!G23</f>
        <v>0</v>
      </c>
      <c r="H24" s="36">
        <f t="shared" si="2"/>
        <v>1</v>
      </c>
      <c r="I24" s="241">
        <f>ROUND('NABIDKA DOPRAVCE'!L28,3)</f>
        <v>0</v>
      </c>
      <c r="J24" s="138"/>
      <c r="K24" s="161"/>
      <c r="L24" s="162">
        <f t="shared" si="0"/>
        <v>0</v>
      </c>
      <c r="M24" s="147"/>
      <c r="N24" s="167">
        <f t="shared" si="3"/>
        <v>0</v>
      </c>
      <c r="O24" s="168">
        <f t="shared" si="3"/>
        <v>0</v>
      </c>
      <c r="P24" s="168">
        <f t="shared" si="3"/>
        <v>0</v>
      </c>
      <c r="Q24" s="168">
        <f t="shared" si="3"/>
        <v>0</v>
      </c>
      <c r="R24" s="168">
        <f t="shared" si="3"/>
        <v>0</v>
      </c>
      <c r="S24" s="168">
        <f t="shared" si="3"/>
        <v>0</v>
      </c>
      <c r="T24" s="168">
        <f t="shared" si="3"/>
        <v>0</v>
      </c>
      <c r="U24" s="168">
        <f t="shared" si="3"/>
        <v>0</v>
      </c>
      <c r="V24" s="168">
        <f t="shared" si="3"/>
        <v>0</v>
      </c>
      <c r="W24" s="169">
        <f t="shared" si="3"/>
        <v>0</v>
      </c>
      <c r="X24" s="147"/>
      <c r="Y24" s="10"/>
    </row>
    <row r="25" spans="1:25" ht="12.75">
      <c r="A25" s="10"/>
      <c r="B25" s="24">
        <v>23</v>
      </c>
      <c r="C25" s="47" t="s">
        <v>18</v>
      </c>
      <c r="D25" s="49"/>
      <c r="E25" s="48"/>
      <c r="F25" s="36">
        <f>'Cenova nabidka CELKOVA'!F24</f>
        <v>0.75</v>
      </c>
      <c r="G25" s="36">
        <f>'Cenova nabidka CELKOVA'!G24</f>
        <v>0</v>
      </c>
      <c r="H25" s="36">
        <f t="shared" si="2"/>
        <v>0.25</v>
      </c>
      <c r="I25" s="241">
        <f>ROUND('NABIDKA DOPRAVCE'!L29,3)</f>
        <v>0</v>
      </c>
      <c r="J25" s="138"/>
      <c r="K25" s="161"/>
      <c r="L25" s="162">
        <f t="shared" si="0"/>
        <v>0</v>
      </c>
      <c r="M25" s="147"/>
      <c r="N25" s="167">
        <f t="shared" si="3"/>
        <v>0</v>
      </c>
      <c r="O25" s="168">
        <f t="shared" si="3"/>
        <v>0</v>
      </c>
      <c r="P25" s="168">
        <f t="shared" si="3"/>
        <v>0</v>
      </c>
      <c r="Q25" s="168">
        <f t="shared" si="3"/>
        <v>0</v>
      </c>
      <c r="R25" s="168">
        <f t="shared" si="3"/>
        <v>0</v>
      </c>
      <c r="S25" s="168">
        <f t="shared" si="3"/>
        <v>0</v>
      </c>
      <c r="T25" s="168">
        <f t="shared" si="3"/>
        <v>0</v>
      </c>
      <c r="U25" s="168">
        <f t="shared" si="3"/>
        <v>0</v>
      </c>
      <c r="V25" s="168">
        <f t="shared" si="3"/>
        <v>0</v>
      </c>
      <c r="W25" s="169">
        <f t="shared" si="3"/>
        <v>0</v>
      </c>
      <c r="X25" s="147"/>
      <c r="Y25" s="10"/>
    </row>
    <row r="26" spans="1:25" ht="12.75">
      <c r="A26" s="10"/>
      <c r="B26" s="24">
        <v>24</v>
      </c>
      <c r="C26" s="47" t="s">
        <v>19</v>
      </c>
      <c r="D26" s="49"/>
      <c r="E26" s="48"/>
      <c r="F26" s="36">
        <f>'Cenova nabidka CELKOVA'!F25</f>
        <v>0.75</v>
      </c>
      <c r="G26" s="36">
        <f>'Cenova nabidka CELKOVA'!G25</f>
        <v>0</v>
      </c>
      <c r="H26" s="36">
        <f t="shared" si="2"/>
        <v>0.25</v>
      </c>
      <c r="I26" s="241">
        <f>ROUND('NABIDKA DOPRAVCE'!L30,3)</f>
        <v>0</v>
      </c>
      <c r="J26" s="138"/>
      <c r="K26" s="161"/>
      <c r="L26" s="162">
        <f t="shared" si="0"/>
        <v>0</v>
      </c>
      <c r="M26" s="147"/>
      <c r="N26" s="167">
        <f t="shared" si="3"/>
        <v>0</v>
      </c>
      <c r="O26" s="168">
        <f t="shared" si="3"/>
        <v>0</v>
      </c>
      <c r="P26" s="168">
        <f t="shared" si="3"/>
        <v>0</v>
      </c>
      <c r="Q26" s="168">
        <f t="shared" si="3"/>
        <v>0</v>
      </c>
      <c r="R26" s="168">
        <f t="shared" si="3"/>
        <v>0</v>
      </c>
      <c r="S26" s="168">
        <f t="shared" si="3"/>
        <v>0</v>
      </c>
      <c r="T26" s="168">
        <f t="shared" si="3"/>
        <v>0</v>
      </c>
      <c r="U26" s="168">
        <f t="shared" si="3"/>
        <v>0</v>
      </c>
      <c r="V26" s="168">
        <f t="shared" si="3"/>
        <v>0</v>
      </c>
      <c r="W26" s="169">
        <f t="shared" si="3"/>
        <v>0</v>
      </c>
      <c r="X26" s="147"/>
      <c r="Y26" s="10"/>
    </row>
    <row r="27" spans="1:25" ht="12.75">
      <c r="A27" s="10"/>
      <c r="B27" s="24">
        <v>25</v>
      </c>
      <c r="C27" s="47" t="s">
        <v>20</v>
      </c>
      <c r="D27" s="49"/>
      <c r="E27" s="48"/>
      <c r="F27" s="36">
        <f>'Cenova nabidka CELKOVA'!F26</f>
        <v>1</v>
      </c>
      <c r="G27" s="36">
        <f>'Cenova nabidka CELKOVA'!G26</f>
        <v>0</v>
      </c>
      <c r="H27" s="36">
        <f t="shared" si="2"/>
        <v>0</v>
      </c>
      <c r="I27" s="241">
        <f>ROUND('NABIDKA DOPRAVCE'!L31,3)</f>
        <v>0</v>
      </c>
      <c r="J27" s="138"/>
      <c r="K27" s="161"/>
      <c r="L27" s="162">
        <f t="shared" si="0"/>
        <v>0</v>
      </c>
      <c r="M27" s="147"/>
      <c r="N27" s="167">
        <f t="shared" si="3"/>
        <v>0</v>
      </c>
      <c r="O27" s="168">
        <f t="shared" si="3"/>
        <v>0</v>
      </c>
      <c r="P27" s="168">
        <f t="shared" si="3"/>
        <v>0</v>
      </c>
      <c r="Q27" s="168">
        <f t="shared" si="3"/>
        <v>0</v>
      </c>
      <c r="R27" s="168">
        <f t="shared" si="3"/>
        <v>0</v>
      </c>
      <c r="S27" s="168">
        <f t="shared" si="3"/>
        <v>0</v>
      </c>
      <c r="T27" s="168">
        <f t="shared" si="3"/>
        <v>0</v>
      </c>
      <c r="U27" s="168">
        <f t="shared" si="3"/>
        <v>0</v>
      </c>
      <c r="V27" s="168">
        <f t="shared" si="3"/>
        <v>0</v>
      </c>
      <c r="W27" s="169">
        <f t="shared" si="3"/>
        <v>0</v>
      </c>
      <c r="X27" s="147"/>
      <c r="Y27" s="10"/>
    </row>
    <row r="28" spans="1:25" ht="13.5" thickBot="1">
      <c r="A28" s="10"/>
      <c r="B28" s="27">
        <v>26</v>
      </c>
      <c r="C28" s="81" t="s">
        <v>21</v>
      </c>
      <c r="D28" s="86"/>
      <c r="E28" s="82"/>
      <c r="F28" s="346">
        <f>IF($I$28=0,0,SUMPRODUCT(F7:F27,$I$7:$I$27)/$I$28)</f>
        <v>1</v>
      </c>
      <c r="G28" s="346">
        <f aca="true" t="shared" si="4" ref="G28:H28">IF($I$28=0,0,SUMPRODUCT(G7:G27,$I$7:$I$27)/$I$28)</f>
        <v>0</v>
      </c>
      <c r="H28" s="346">
        <f t="shared" si="4"/>
        <v>0</v>
      </c>
      <c r="I28" s="238">
        <f>SUM(I7:I27)</f>
        <v>0.032</v>
      </c>
      <c r="J28" s="139"/>
      <c r="K28" s="170"/>
      <c r="L28" s="171">
        <f>SUM(L7:L27)</f>
        <v>0</v>
      </c>
      <c r="M28" s="147"/>
      <c r="N28" s="172">
        <f aca="true" t="shared" si="5" ref="N28:W28">SUM(N7:N27)</f>
        <v>0</v>
      </c>
      <c r="O28" s="173">
        <f t="shared" si="5"/>
        <v>0</v>
      </c>
      <c r="P28" s="173">
        <f t="shared" si="5"/>
        <v>0</v>
      </c>
      <c r="Q28" s="173">
        <f t="shared" si="5"/>
        <v>0</v>
      </c>
      <c r="R28" s="173">
        <f t="shared" si="5"/>
        <v>0</v>
      </c>
      <c r="S28" s="173">
        <f t="shared" si="5"/>
        <v>0</v>
      </c>
      <c r="T28" s="173">
        <f t="shared" si="5"/>
        <v>0</v>
      </c>
      <c r="U28" s="173">
        <f t="shared" si="5"/>
        <v>0</v>
      </c>
      <c r="V28" s="173">
        <f t="shared" si="5"/>
        <v>0</v>
      </c>
      <c r="W28" s="174">
        <f t="shared" si="5"/>
        <v>0</v>
      </c>
      <c r="X28" s="147"/>
      <c r="Y28" s="10"/>
    </row>
    <row r="29" spans="1:25" ht="12.75">
      <c r="A29" s="10"/>
      <c r="B29" s="83">
        <v>97</v>
      </c>
      <c r="C29" s="84" t="s">
        <v>83</v>
      </c>
      <c r="D29" s="80"/>
      <c r="E29" s="85"/>
      <c r="F29" s="35">
        <f>'Cenova nabidka CELKOVA'!F28</f>
        <v>0</v>
      </c>
      <c r="G29" s="35">
        <f>'Cenova nabidka CELKOVA'!G28</f>
        <v>1</v>
      </c>
      <c r="H29" s="35">
        <f aca="true" t="shared" si="6" ref="H29:H30">100%-F29-G29</f>
        <v>0</v>
      </c>
      <c r="I29" s="239">
        <f>ROUND('NABIDKA DOPRAVCE'!L33,3)</f>
        <v>0</v>
      </c>
      <c r="J29" s="138"/>
      <c r="K29" s="161"/>
      <c r="L29" s="162">
        <f>$I29*L$34</f>
        <v>0</v>
      </c>
      <c r="M29" s="147"/>
      <c r="N29" s="163">
        <f aca="true" t="shared" si="7" ref="N29:W31">$I29*N$34</f>
        <v>0</v>
      </c>
      <c r="O29" s="164">
        <f t="shared" si="7"/>
        <v>0</v>
      </c>
      <c r="P29" s="164">
        <f t="shared" si="7"/>
        <v>0</v>
      </c>
      <c r="Q29" s="164">
        <f t="shared" si="7"/>
        <v>0</v>
      </c>
      <c r="R29" s="164">
        <f t="shared" si="7"/>
        <v>0</v>
      </c>
      <c r="S29" s="164">
        <f t="shared" si="7"/>
        <v>0</v>
      </c>
      <c r="T29" s="164">
        <f t="shared" si="7"/>
        <v>0</v>
      </c>
      <c r="U29" s="164">
        <f t="shared" si="7"/>
        <v>0</v>
      </c>
      <c r="V29" s="164">
        <f t="shared" si="7"/>
        <v>0</v>
      </c>
      <c r="W29" s="165">
        <f t="shared" si="7"/>
        <v>0</v>
      </c>
      <c r="X29" s="147"/>
      <c r="Y29" s="10"/>
    </row>
    <row r="30" spans="1:25" ht="12.75">
      <c r="A30" s="10"/>
      <c r="B30" s="45">
        <v>98</v>
      </c>
      <c r="C30" s="47" t="s">
        <v>44</v>
      </c>
      <c r="D30" s="28"/>
      <c r="E30" s="48"/>
      <c r="F30" s="36">
        <f>'Cenova nabidka CELKOVA'!F29</f>
        <v>1</v>
      </c>
      <c r="G30" s="36">
        <f>'Cenova nabidka CELKOVA'!G29</f>
        <v>0</v>
      </c>
      <c r="H30" s="36">
        <f t="shared" si="6"/>
        <v>0</v>
      </c>
      <c r="I30" s="241">
        <f>ROUND('NABIDKA DOPRAVCE'!L34,3)</f>
        <v>0</v>
      </c>
      <c r="J30" s="138"/>
      <c r="K30" s="161"/>
      <c r="L30" s="162">
        <f>$I30*L$34</f>
        <v>0</v>
      </c>
      <c r="M30" s="147"/>
      <c r="N30" s="167">
        <f t="shared" si="7"/>
        <v>0</v>
      </c>
      <c r="O30" s="168">
        <f t="shared" si="7"/>
        <v>0</v>
      </c>
      <c r="P30" s="168">
        <f t="shared" si="7"/>
        <v>0</v>
      </c>
      <c r="Q30" s="168">
        <f t="shared" si="7"/>
        <v>0</v>
      </c>
      <c r="R30" s="168">
        <f t="shared" si="7"/>
        <v>0</v>
      </c>
      <c r="S30" s="168">
        <f t="shared" si="7"/>
        <v>0</v>
      </c>
      <c r="T30" s="168">
        <f t="shared" si="7"/>
        <v>0</v>
      </c>
      <c r="U30" s="168">
        <f t="shared" si="7"/>
        <v>0</v>
      </c>
      <c r="V30" s="168">
        <f t="shared" si="7"/>
        <v>0</v>
      </c>
      <c r="W30" s="169">
        <f t="shared" si="7"/>
        <v>0</v>
      </c>
      <c r="X30" s="147"/>
      <c r="Y30" s="10"/>
    </row>
    <row r="31" spans="1:25" ht="12.75">
      <c r="A31" s="10"/>
      <c r="B31" s="334">
        <v>99</v>
      </c>
      <c r="C31" s="194" t="s">
        <v>226</v>
      </c>
      <c r="D31" s="99"/>
      <c r="E31" s="100"/>
      <c r="F31" s="36">
        <f>'Cenova nabidka CELKOVA'!F30</f>
        <v>1</v>
      </c>
      <c r="G31" s="36">
        <f>'Cenova nabidka CELKOVA'!G30</f>
        <v>0</v>
      </c>
      <c r="H31" s="36">
        <f aca="true" t="shared" si="8" ref="H31">100%-F31-G31</f>
        <v>0</v>
      </c>
      <c r="I31" s="241">
        <f>ROUND('NABIDKA DOPRAVCE'!L35,3)</f>
        <v>1.1</v>
      </c>
      <c r="J31" s="138"/>
      <c r="K31" s="161"/>
      <c r="L31" s="162">
        <f>$I31*L$34</f>
        <v>0</v>
      </c>
      <c r="M31" s="147"/>
      <c r="N31" s="167">
        <f t="shared" si="7"/>
        <v>0</v>
      </c>
      <c r="O31" s="168">
        <f t="shared" si="7"/>
        <v>0</v>
      </c>
      <c r="P31" s="168">
        <f t="shared" si="7"/>
        <v>0</v>
      </c>
      <c r="Q31" s="168">
        <f t="shared" si="7"/>
        <v>0</v>
      </c>
      <c r="R31" s="168">
        <f t="shared" si="7"/>
        <v>0</v>
      </c>
      <c r="S31" s="168">
        <f t="shared" si="7"/>
        <v>0</v>
      </c>
      <c r="T31" s="168">
        <f t="shared" si="7"/>
        <v>0</v>
      </c>
      <c r="U31" s="168">
        <f t="shared" si="7"/>
        <v>0</v>
      </c>
      <c r="V31" s="168">
        <f t="shared" si="7"/>
        <v>0</v>
      </c>
      <c r="W31" s="169">
        <f t="shared" si="7"/>
        <v>0</v>
      </c>
      <c r="X31" s="147"/>
      <c r="Y31" s="10"/>
    </row>
    <row r="32" spans="1:25" ht="13.5" thickBot="1">
      <c r="A32" s="10"/>
      <c r="B32" s="46"/>
      <c r="C32" s="81" t="s">
        <v>46</v>
      </c>
      <c r="D32" s="29"/>
      <c r="E32" s="82"/>
      <c r="F32" s="346">
        <f>IF($I$32=0,"",(F28*$I$28+SUMPRODUCT(F29:F31,$I$29:$I$31))/$I$32)</f>
        <v>1</v>
      </c>
      <c r="G32" s="346">
        <f aca="true" t="shared" si="9" ref="G32:H32">IF($I$32=0,"",(G28*$I$28+SUMPRODUCT(G29:G31,$I$29:$I$31))/$I$32)</f>
        <v>0</v>
      </c>
      <c r="H32" s="346">
        <f t="shared" si="9"/>
        <v>0</v>
      </c>
      <c r="I32" s="238">
        <f>SUM(I28:I31)</f>
        <v>1.1320000000000001</v>
      </c>
      <c r="J32" s="139"/>
      <c r="K32" s="170"/>
      <c r="L32" s="171">
        <f>SUM(L28:L31)</f>
        <v>0</v>
      </c>
      <c r="M32" s="147"/>
      <c r="N32" s="172">
        <f>SUM(N28:N31)</f>
        <v>0</v>
      </c>
      <c r="O32" s="173">
        <f aca="true" t="shared" si="10" ref="O32:W32">SUM(O28:O31)</f>
        <v>0</v>
      </c>
      <c r="P32" s="173">
        <f t="shared" si="10"/>
        <v>0</v>
      </c>
      <c r="Q32" s="173">
        <f t="shared" si="10"/>
        <v>0</v>
      </c>
      <c r="R32" s="173">
        <f t="shared" si="10"/>
        <v>0</v>
      </c>
      <c r="S32" s="173">
        <f t="shared" si="10"/>
        <v>0</v>
      </c>
      <c r="T32" s="173">
        <f t="shared" si="10"/>
        <v>0</v>
      </c>
      <c r="U32" s="173">
        <f t="shared" si="10"/>
        <v>0</v>
      </c>
      <c r="V32" s="173">
        <f t="shared" si="10"/>
        <v>0</v>
      </c>
      <c r="W32" s="174">
        <f t="shared" si="10"/>
        <v>0</v>
      </c>
      <c r="X32" s="147"/>
      <c r="Y32" s="10"/>
    </row>
    <row r="33" spans="1:25" ht="13.5" thickBot="1">
      <c r="A33" s="10"/>
      <c r="B33" s="10"/>
      <c r="C33" s="10"/>
      <c r="D33" s="10"/>
      <c r="E33" s="10"/>
      <c r="F33" s="30"/>
      <c r="G33" s="30"/>
      <c r="H33" s="30"/>
      <c r="I33" s="10"/>
      <c r="J33" s="54"/>
      <c r="K33" s="146"/>
      <c r="L33" s="147"/>
      <c r="M33" s="147"/>
      <c r="N33" s="147"/>
      <c r="O33" s="147"/>
      <c r="P33" s="147"/>
      <c r="Q33" s="147"/>
      <c r="R33" s="147"/>
      <c r="S33" s="147"/>
      <c r="T33" s="147"/>
      <c r="U33" s="147"/>
      <c r="V33" s="147"/>
      <c r="W33" s="147"/>
      <c r="X33" s="147"/>
      <c r="Y33" s="10"/>
    </row>
    <row r="34" spans="1:25" ht="13.5" thickBot="1">
      <c r="A34" s="10"/>
      <c r="B34" s="10"/>
      <c r="C34" s="10"/>
      <c r="D34" s="10"/>
      <c r="E34" s="10"/>
      <c r="F34" s="232"/>
      <c r="G34" s="232"/>
      <c r="H34" s="232"/>
      <c r="I34" s="10"/>
      <c r="J34" s="145"/>
      <c r="K34" s="175"/>
      <c r="L34" s="176">
        <f>PP*AVERAGE('Technicke hodnoceni'!D22:M22)</f>
        <v>0</v>
      </c>
      <c r="M34" s="147"/>
      <c r="N34" s="176">
        <f>'Technicke hodnoceni'!D$22*PP</f>
        <v>0</v>
      </c>
      <c r="O34" s="176">
        <f>'Technicke hodnoceni'!E$22*PP</f>
        <v>0</v>
      </c>
      <c r="P34" s="176">
        <f>'Technicke hodnoceni'!F$22*PP</f>
        <v>0</v>
      </c>
      <c r="Q34" s="176">
        <f>'Technicke hodnoceni'!G$22*PP</f>
        <v>0</v>
      </c>
      <c r="R34" s="176">
        <f>'Technicke hodnoceni'!H$22*PP</f>
        <v>0</v>
      </c>
      <c r="S34" s="176">
        <f>'Technicke hodnoceni'!I$22*PP</f>
        <v>0</v>
      </c>
      <c r="T34" s="176">
        <f>'Technicke hodnoceni'!J$22*PP</f>
        <v>0</v>
      </c>
      <c r="U34" s="176">
        <f>'Technicke hodnoceni'!K$22*PP</f>
        <v>0</v>
      </c>
      <c r="V34" s="176">
        <f>'Technicke hodnoceni'!L$22*PP</f>
        <v>0</v>
      </c>
      <c r="W34" s="176">
        <f>'Technicke hodnoceni'!M$22*PP</f>
        <v>0</v>
      </c>
      <c r="X34" s="147"/>
      <c r="Y34" s="10"/>
    </row>
    <row r="35" spans="1:25" ht="12.75">
      <c r="A35" s="10"/>
      <c r="B35" s="10"/>
      <c r="C35" s="10"/>
      <c r="D35" s="10"/>
      <c r="E35" s="10"/>
      <c r="F35" s="30"/>
      <c r="G35" s="30"/>
      <c r="H35" s="30"/>
      <c r="I35" s="10"/>
      <c r="J35" s="145"/>
      <c r="K35" s="175"/>
      <c r="L35" s="177"/>
      <c r="M35" s="147"/>
      <c r="N35" s="177"/>
      <c r="O35" s="177"/>
      <c r="P35" s="177"/>
      <c r="Q35" s="177"/>
      <c r="R35" s="177"/>
      <c r="S35" s="177"/>
      <c r="T35" s="177"/>
      <c r="U35" s="177"/>
      <c r="V35" s="177"/>
      <c r="W35" s="177"/>
      <c r="X35" s="147"/>
      <c r="Y35" s="10"/>
    </row>
    <row r="36" spans="1:25" ht="12.75">
      <c r="A36" s="10"/>
      <c r="B36" s="10"/>
      <c r="C36" s="10"/>
      <c r="D36" s="10"/>
      <c r="E36" s="10"/>
      <c r="F36" s="30"/>
      <c r="G36" s="30"/>
      <c r="H36" s="30"/>
      <c r="I36" s="10"/>
      <c r="J36" s="145"/>
      <c r="K36" s="175"/>
      <c r="L36" s="178" t="s">
        <v>200</v>
      </c>
      <c r="M36" s="147"/>
      <c r="N36" s="177"/>
      <c r="O36" s="177"/>
      <c r="P36" s="177"/>
      <c r="Q36" s="177"/>
      <c r="R36" s="177"/>
      <c r="S36" s="177"/>
      <c r="T36" s="177"/>
      <c r="U36" s="177"/>
      <c r="V36" s="177"/>
      <c r="W36" s="177"/>
      <c r="X36" s="147"/>
      <c r="Y36" s="10"/>
    </row>
    <row r="37" spans="1:25" ht="12.75">
      <c r="A37" s="10"/>
      <c r="B37" s="10"/>
      <c r="C37" s="10"/>
      <c r="D37" s="10"/>
      <c r="E37" s="10"/>
      <c r="F37" s="30"/>
      <c r="G37" s="30"/>
      <c r="H37" s="30"/>
      <c r="I37" s="10"/>
      <c r="J37" s="145"/>
      <c r="K37" s="175"/>
      <c r="L37" s="178"/>
      <c r="M37" s="147"/>
      <c r="N37" s="177"/>
      <c r="O37" s="177"/>
      <c r="P37" s="177"/>
      <c r="Q37" s="177"/>
      <c r="R37" s="177"/>
      <c r="S37" s="177"/>
      <c r="T37" s="177"/>
      <c r="U37" s="177"/>
      <c r="V37" s="177"/>
      <c r="W37" s="177"/>
      <c r="X37" s="147"/>
      <c r="Y37" s="10"/>
    </row>
    <row r="38" spans="1:25" ht="12.75">
      <c r="A38" s="10"/>
      <c r="B38" s="10"/>
      <c r="C38" s="10"/>
      <c r="D38" s="10"/>
      <c r="E38" s="10"/>
      <c r="F38" s="30"/>
      <c r="G38" s="30"/>
      <c r="H38" s="30"/>
      <c r="I38" s="10"/>
      <c r="J38" s="54"/>
      <c r="K38" s="54"/>
      <c r="L38" s="10"/>
      <c r="M38" s="10"/>
      <c r="N38" s="10"/>
      <c r="O38" s="10"/>
      <c r="P38" s="10"/>
      <c r="Q38" s="10"/>
      <c r="R38" s="10"/>
      <c r="S38" s="10"/>
      <c r="T38" s="10"/>
      <c r="U38" s="10"/>
      <c r="V38" s="10"/>
      <c r="W38" s="10"/>
      <c r="X38" s="10"/>
      <c r="Y38" s="10"/>
    </row>
  </sheetData>
  <sheetProtection password="EEFD" sheet="1" scenarios="1" formatRows="0"/>
  <conditionalFormatting sqref="I7:I32">
    <cfRule type="expression" priority="85" dxfId="5">
      <formula>#REF!&gt;'NASTAVENI ZADAVATELE'!#REF!</formula>
    </cfRule>
  </conditionalFormatting>
  <printOptions/>
  <pageMargins left="0.25" right="0.25" top="0.75" bottom="0.75" header="0.3" footer="0.3"/>
  <pageSetup fitToHeight="1" fitToWidth="1" horizontalDpi="600" verticalDpi="600" orientation="landscape" paperSize="9" scale="47" r:id="rId2"/>
  <headerFooter>
    <oddHeader>&amp;C&amp;F</oddHeader>
    <oddFooter>&amp;C&amp;A</oddFooter>
  </headerFooter>
  <colBreaks count="1" manualBreakCount="1">
    <brk id="10" max="16383" man="1"/>
  </colBreaks>
  <drawing r:id="rId1"/>
  <extLst>
    <ext xmlns:x14="http://schemas.microsoft.com/office/spreadsheetml/2009/9/main" uri="{78C0D931-6437-407d-A8EE-F0AAD7539E65}">
      <x14:conditionalFormattings>
        <x14:conditionalFormatting xmlns:xm="http://schemas.microsoft.com/office/excel/2006/main">
          <x14:cfRule type="expression" priority="85">
            <xm:f>#REF!&gt;'NASTAVENI ZADAVATELE'!#REF!</xm:f>
            <x14:dxf>
              <fill>
                <patternFill>
                  <bgColor rgb="FFFF0000"/>
                </patternFill>
              </fill>
            </x14:dxf>
          </x14:cfRule>
          <xm:sqref>I7:I32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54"/>
  <sheetViews>
    <sheetView zoomScaleSheetLayoutView="100" workbookViewId="0" topLeftCell="A10"/>
  </sheetViews>
  <sheetFormatPr defaultColWidth="0" defaultRowHeight="12.75" zeroHeight="1"/>
  <cols>
    <col min="1" max="1" width="4.7109375" style="337" customWidth="1"/>
    <col min="2" max="2" width="9.140625" style="337" customWidth="1"/>
    <col min="3" max="3" width="24.421875" style="337" customWidth="1"/>
    <col min="4" max="14" width="9.140625" style="337" customWidth="1"/>
    <col min="15" max="15" width="4.7109375" style="520" customWidth="1"/>
    <col min="16" max="16384" width="9.140625" style="337" hidden="1" customWidth="1"/>
  </cols>
  <sheetData>
    <row r="1" ht="12.75"/>
    <row r="2" ht="12.75">
      <c r="B2" s="390" t="s">
        <v>53</v>
      </c>
    </row>
    <row r="3" ht="12.75">
      <c r="B3" s="521" t="s">
        <v>54</v>
      </c>
    </row>
    <row r="4" spans="2:14" ht="12.75">
      <c r="B4" s="500"/>
      <c r="C4" s="439"/>
      <c r="D4" s="426"/>
      <c r="E4" s="422">
        <f>VR</f>
        <v>1</v>
      </c>
      <c r="F4" s="422">
        <f>E4+1</f>
        <v>2</v>
      </c>
      <c r="G4" s="422">
        <f aca="true" t="shared" si="0" ref="G4:N4">F4+1</f>
        <v>3</v>
      </c>
      <c r="H4" s="422">
        <f t="shared" si="0"/>
        <v>4</v>
      </c>
      <c r="I4" s="422">
        <f t="shared" si="0"/>
        <v>5</v>
      </c>
      <c r="J4" s="422">
        <f t="shared" si="0"/>
        <v>6</v>
      </c>
      <c r="K4" s="422">
        <f t="shared" si="0"/>
        <v>7</v>
      </c>
      <c r="L4" s="422">
        <f t="shared" si="0"/>
        <v>8</v>
      </c>
      <c r="M4" s="422">
        <f t="shared" si="0"/>
        <v>9</v>
      </c>
      <c r="N4" s="422">
        <f t="shared" si="0"/>
        <v>10</v>
      </c>
    </row>
    <row r="5" spans="2:15" ht="12.75">
      <c r="B5" s="737" t="s">
        <v>47</v>
      </c>
      <c r="C5" s="738"/>
      <c r="D5" s="739"/>
      <c r="E5" s="332">
        <v>1</v>
      </c>
      <c r="F5" s="332"/>
      <c r="G5" s="332"/>
      <c r="H5" s="332"/>
      <c r="I5" s="332"/>
      <c r="J5" s="332"/>
      <c r="K5" s="332"/>
      <c r="L5" s="332"/>
      <c r="M5" s="332"/>
      <c r="N5" s="332"/>
      <c r="O5" s="520">
        <v>1</v>
      </c>
    </row>
    <row r="6" spans="2:15" ht="12.75">
      <c r="B6" s="737" t="s">
        <v>52</v>
      </c>
      <c r="C6" s="738"/>
      <c r="D6" s="739"/>
      <c r="E6" s="522">
        <f>IF(E5=0,"",E5)</f>
        <v>1</v>
      </c>
      <c r="F6" s="522">
        <f>IF(OR(E5=0,E5="",F5=0,F5=""),0,(1+MAX((F5/E5-1)-'NASTAVENI ZADAVATELE'!$H$26,0))*E6)</f>
        <v>0</v>
      </c>
      <c r="G6" s="522">
        <f>IF(OR(F5=0,F5="",G5=0,G5=""),0,(1+MAX((G5/F5-1)-'NASTAVENI ZADAVATELE'!$H$26,0))*F6)</f>
        <v>0</v>
      </c>
      <c r="H6" s="522">
        <f>IF(OR(G5=0,G5="",H5=0,H5=""),0,(1+MAX((H5/G5-1)-'NASTAVENI ZADAVATELE'!$H$26,0))*G6)</f>
        <v>0</v>
      </c>
      <c r="I6" s="522">
        <f>IF(OR(H5=0,H5="",I5=0,I5=""),0,(1+MAX((I5/H5-1)-'NASTAVENI ZADAVATELE'!$H$26,0))*H6)</f>
        <v>0</v>
      </c>
      <c r="J6" s="522">
        <f>IF(OR(I5=0,I5="",J5=0,J5=""),0,(1+MAX((J5/I5-1)-'NASTAVENI ZADAVATELE'!$H$26,0))*I6)</f>
        <v>0</v>
      </c>
      <c r="K6" s="522">
        <f>IF(OR(J5=0,J5="",K5=0,K5=""),0,(1+MAX((K5/J5-1)-'NASTAVENI ZADAVATELE'!$H$26,0))*J6)</f>
        <v>0</v>
      </c>
      <c r="L6" s="522">
        <f>IF(OR(K5=0,K5="",L5=0,L5=""),0,(1+MAX((L5/K5-1)-'NASTAVENI ZADAVATELE'!$H$26,0))*K6)</f>
        <v>0</v>
      </c>
      <c r="M6" s="522">
        <f>IF(OR(L5=0,L5="",M5=0,M5=""),0,(1+MAX((M5/L5-1)-'NASTAVENI ZADAVATELE'!$H$26,0))*L6)</f>
        <v>0</v>
      </c>
      <c r="N6" s="522">
        <f>IF(OR(M5=0,M5=""),0,(1+MAX((N5/M5-1)-'NASTAVENI ZADAVATELE'!$H$26,0))*M6)</f>
        <v>0</v>
      </c>
      <c r="O6" s="520">
        <v>2</v>
      </c>
    </row>
    <row r="7" spans="2:15" ht="12.75">
      <c r="B7" s="737" t="s">
        <v>49</v>
      </c>
      <c r="C7" s="738"/>
      <c r="D7" s="739"/>
      <c r="E7" s="332">
        <v>1</v>
      </c>
      <c r="F7" s="332"/>
      <c r="G7" s="332"/>
      <c r="H7" s="332"/>
      <c r="I7" s="332"/>
      <c r="J7" s="332"/>
      <c r="K7" s="332"/>
      <c r="L7" s="332"/>
      <c r="M7" s="332"/>
      <c r="N7" s="332"/>
      <c r="O7" s="520">
        <v>3</v>
      </c>
    </row>
    <row r="8" spans="2:15" ht="12.75">
      <c r="B8" s="737" t="s">
        <v>48</v>
      </c>
      <c r="C8" s="738"/>
      <c r="D8" s="739"/>
      <c r="E8" s="332">
        <v>1</v>
      </c>
      <c r="F8" s="332"/>
      <c r="G8" s="332"/>
      <c r="H8" s="332"/>
      <c r="I8" s="332"/>
      <c r="J8" s="332"/>
      <c r="K8" s="332"/>
      <c r="L8" s="332"/>
      <c r="M8" s="332"/>
      <c r="N8" s="332"/>
      <c r="O8" s="520">
        <v>4</v>
      </c>
    </row>
    <row r="9" spans="2:15" ht="12.75">
      <c r="B9" s="737" t="s">
        <v>270</v>
      </c>
      <c r="C9" s="738"/>
      <c r="D9" s="739"/>
      <c r="E9" s="332">
        <v>1</v>
      </c>
      <c r="F9" s="332"/>
      <c r="G9" s="332"/>
      <c r="H9" s="332"/>
      <c r="I9" s="332"/>
      <c r="J9" s="332"/>
      <c r="K9" s="332"/>
      <c r="L9" s="332"/>
      <c r="M9" s="332"/>
      <c r="N9" s="332"/>
      <c r="O9" s="520">
        <v>5</v>
      </c>
    </row>
    <row r="10" spans="2:15" ht="12.75">
      <c r="B10" s="737" t="s">
        <v>238</v>
      </c>
      <c r="C10" s="738"/>
      <c r="D10" s="739"/>
      <c r="E10" s="332">
        <v>1</v>
      </c>
      <c r="F10" s="332"/>
      <c r="G10" s="332"/>
      <c r="H10" s="332"/>
      <c r="I10" s="332"/>
      <c r="J10" s="332"/>
      <c r="K10" s="332"/>
      <c r="L10" s="332"/>
      <c r="M10" s="332"/>
      <c r="N10" s="332"/>
      <c r="O10" s="520">
        <v>6</v>
      </c>
    </row>
    <row r="11" spans="2:15" ht="12.75">
      <c r="B11" s="737" t="s">
        <v>96</v>
      </c>
      <c r="C11" s="738"/>
      <c r="D11" s="739"/>
      <c r="E11" s="332">
        <v>1</v>
      </c>
      <c r="F11" s="332"/>
      <c r="G11" s="332"/>
      <c r="H11" s="332"/>
      <c r="I11" s="332"/>
      <c r="J11" s="332"/>
      <c r="K11" s="332"/>
      <c r="L11" s="332"/>
      <c r="M11" s="332"/>
      <c r="N11" s="332"/>
      <c r="O11" s="520">
        <v>7</v>
      </c>
    </row>
    <row r="12" spans="2:15" ht="12.75">
      <c r="B12" s="737" t="s">
        <v>226</v>
      </c>
      <c r="C12" s="738"/>
      <c r="D12" s="739"/>
      <c r="E12" s="332">
        <v>1</v>
      </c>
      <c r="F12" s="332"/>
      <c r="G12" s="332"/>
      <c r="H12" s="332"/>
      <c r="I12" s="332"/>
      <c r="J12" s="332"/>
      <c r="K12" s="332"/>
      <c r="L12" s="332"/>
      <c r="M12" s="332"/>
      <c r="N12" s="332"/>
      <c r="O12" s="520">
        <v>8</v>
      </c>
    </row>
    <row r="13" spans="2:15" ht="12.75">
      <c r="B13" s="737" t="s">
        <v>271</v>
      </c>
      <c r="C13" s="738"/>
      <c r="D13" s="739"/>
      <c r="E13" s="332">
        <v>1</v>
      </c>
      <c r="F13" s="332"/>
      <c r="G13" s="332"/>
      <c r="H13" s="332"/>
      <c r="I13" s="332"/>
      <c r="J13" s="332"/>
      <c r="K13" s="332"/>
      <c r="L13" s="332"/>
      <c r="M13" s="332"/>
      <c r="N13" s="332"/>
      <c r="O13" s="520">
        <v>9</v>
      </c>
    </row>
    <row r="14" spans="2:15" ht="12.75">
      <c r="B14" s="737" t="s">
        <v>271</v>
      </c>
      <c r="C14" s="738"/>
      <c r="D14" s="739"/>
      <c r="E14" s="332">
        <v>1</v>
      </c>
      <c r="F14" s="332"/>
      <c r="G14" s="332"/>
      <c r="H14" s="332"/>
      <c r="I14" s="332"/>
      <c r="J14" s="332"/>
      <c r="K14" s="332"/>
      <c r="L14" s="332"/>
      <c r="M14" s="332"/>
      <c r="N14" s="332"/>
      <c r="O14" s="520">
        <v>10</v>
      </c>
    </row>
    <row r="15" ht="12.75"/>
    <row r="16" ht="12.75">
      <c r="B16" s="390" t="s">
        <v>223</v>
      </c>
    </row>
    <row r="17" spans="2:15" ht="12.75">
      <c r="B17" s="737" t="str">
        <f>B5</f>
        <v>Index spotřebitelských cen</v>
      </c>
      <c r="C17" s="738"/>
      <c r="D17" s="739"/>
      <c r="E17" s="523"/>
      <c r="F17" s="524">
        <f>IF(E5=0,"",F5/E5-1)</f>
        <v>-1</v>
      </c>
      <c r="G17" s="524" t="str">
        <f aca="true" t="shared" si="1" ref="G17:N17">IF(F5=0,"",G5/F5-1)</f>
        <v/>
      </c>
      <c r="H17" s="524" t="str">
        <f t="shared" si="1"/>
        <v/>
      </c>
      <c r="I17" s="524" t="str">
        <f t="shared" si="1"/>
        <v/>
      </c>
      <c r="J17" s="524" t="str">
        <f t="shared" si="1"/>
        <v/>
      </c>
      <c r="K17" s="524" t="str">
        <f t="shared" si="1"/>
        <v/>
      </c>
      <c r="L17" s="524" t="str">
        <f t="shared" si="1"/>
        <v/>
      </c>
      <c r="M17" s="524" t="str">
        <f t="shared" si="1"/>
        <v/>
      </c>
      <c r="N17" s="524" t="str">
        <f t="shared" si="1"/>
        <v/>
      </c>
      <c r="O17" s="520">
        <v>1</v>
      </c>
    </row>
    <row r="18" spans="2:15" ht="12.75">
      <c r="B18" s="737" t="str">
        <f aca="true" t="shared" si="2" ref="B18:B26">B6</f>
        <v>Upravený index spotřebitelských cen</v>
      </c>
      <c r="C18" s="738"/>
      <c r="D18" s="739"/>
      <c r="E18" s="523"/>
      <c r="F18" s="524">
        <f>IF(OR(E5=0,E5="",E6=0,E6=""),"",F6/E6-1)</f>
        <v>-1</v>
      </c>
      <c r="G18" s="524" t="str">
        <f aca="true" t="shared" si="3" ref="G18:N18">IF(OR(F5=0,F5="",F6=0,F6=""),"",G6/F6-1)</f>
        <v/>
      </c>
      <c r="H18" s="524" t="str">
        <f t="shared" si="3"/>
        <v/>
      </c>
      <c r="I18" s="524" t="str">
        <f t="shared" si="3"/>
        <v/>
      </c>
      <c r="J18" s="524" t="str">
        <f t="shared" si="3"/>
        <v/>
      </c>
      <c r="K18" s="524" t="str">
        <f t="shared" si="3"/>
        <v/>
      </c>
      <c r="L18" s="524" t="str">
        <f t="shared" si="3"/>
        <v/>
      </c>
      <c r="M18" s="524" t="str">
        <f t="shared" si="3"/>
        <v/>
      </c>
      <c r="N18" s="524" t="str">
        <f t="shared" si="3"/>
        <v/>
      </c>
      <c r="O18" s="520">
        <v>2</v>
      </c>
    </row>
    <row r="19" spans="2:15" ht="12.75">
      <c r="B19" s="737" t="str">
        <f t="shared" si="2"/>
        <v>Index mezd v MSK</v>
      </c>
      <c r="C19" s="738"/>
      <c r="D19" s="739"/>
      <c r="E19" s="523"/>
      <c r="F19" s="524">
        <f aca="true" t="shared" si="4" ref="F19:N19">IF(E7=0,"",F7/E7-1)</f>
        <v>-1</v>
      </c>
      <c r="G19" s="524" t="str">
        <f t="shared" si="4"/>
        <v/>
      </c>
      <c r="H19" s="524" t="str">
        <f t="shared" si="4"/>
        <v/>
      </c>
      <c r="I19" s="524" t="str">
        <f t="shared" si="4"/>
        <v/>
      </c>
      <c r="J19" s="524" t="str">
        <f t="shared" si="4"/>
        <v/>
      </c>
      <c r="K19" s="524" t="str">
        <f t="shared" si="4"/>
        <v/>
      </c>
      <c r="L19" s="524" t="str">
        <f t="shared" si="4"/>
        <v/>
      </c>
      <c r="M19" s="524" t="str">
        <f t="shared" si="4"/>
        <v/>
      </c>
      <c r="N19" s="524" t="str">
        <f t="shared" si="4"/>
        <v/>
      </c>
      <c r="O19" s="520">
        <v>3</v>
      </c>
    </row>
    <row r="20" spans="2:15" ht="12.75">
      <c r="B20" s="737" t="str">
        <f t="shared" si="2"/>
        <v>Index pro naftu</v>
      </c>
      <c r="C20" s="738"/>
      <c r="D20" s="739"/>
      <c r="E20" s="523"/>
      <c r="F20" s="524">
        <f aca="true" t="shared" si="5" ref="F20:N20">IF(E8=0,"",F8/E8-1)</f>
        <v>-1</v>
      </c>
      <c r="G20" s="524" t="str">
        <f t="shared" si="5"/>
        <v/>
      </c>
      <c r="H20" s="524" t="str">
        <f t="shared" si="5"/>
        <v/>
      </c>
      <c r="I20" s="524" t="str">
        <f t="shared" si="5"/>
        <v/>
      </c>
      <c r="J20" s="524" t="str">
        <f t="shared" si="5"/>
        <v/>
      </c>
      <c r="K20" s="524" t="str">
        <f t="shared" si="5"/>
        <v/>
      </c>
      <c r="L20" s="524" t="str">
        <f t="shared" si="5"/>
        <v/>
      </c>
      <c r="M20" s="524" t="str">
        <f t="shared" si="5"/>
        <v/>
      </c>
      <c r="N20" s="524" t="str">
        <f t="shared" si="5"/>
        <v/>
      </c>
      <c r="O20" s="520">
        <v>4</v>
      </c>
    </row>
    <row r="21" spans="2:15" ht="12.75">
      <c r="B21" s="737" t="str">
        <f t="shared" si="2"/>
        <v>Index pro CNG</v>
      </c>
      <c r="C21" s="738"/>
      <c r="D21" s="739"/>
      <c r="E21" s="523"/>
      <c r="F21" s="524">
        <f aca="true" t="shared" si="6" ref="F21:N21">IF(E9=0,"",F9/E9-1)</f>
        <v>-1</v>
      </c>
      <c r="G21" s="524" t="str">
        <f t="shared" si="6"/>
        <v/>
      </c>
      <c r="H21" s="524" t="str">
        <f t="shared" si="6"/>
        <v/>
      </c>
      <c r="I21" s="524" t="str">
        <f t="shared" si="6"/>
        <v/>
      </c>
      <c r="J21" s="524" t="str">
        <f t="shared" si="6"/>
        <v/>
      </c>
      <c r="K21" s="524" t="str">
        <f t="shared" si="6"/>
        <v/>
      </c>
      <c r="L21" s="524" t="str">
        <f t="shared" si="6"/>
        <v/>
      </c>
      <c r="M21" s="524" t="str">
        <f t="shared" si="6"/>
        <v/>
      </c>
      <c r="N21" s="524" t="str">
        <f t="shared" si="6"/>
        <v/>
      </c>
      <c r="O21" s="520">
        <v>5</v>
      </c>
    </row>
    <row r="22" spans="2:15" ht="12.75">
      <c r="B22" s="737" t="str">
        <f t="shared" si="2"/>
        <v>Index pro elektřinu</v>
      </c>
      <c r="C22" s="738"/>
      <c r="D22" s="739"/>
      <c r="E22" s="523"/>
      <c r="F22" s="524">
        <f aca="true" t="shared" si="7" ref="F22:N22">IF(E10=0,"",F10/E10-1)</f>
        <v>-1</v>
      </c>
      <c r="G22" s="524" t="str">
        <f t="shared" si="7"/>
        <v/>
      </c>
      <c r="H22" s="524" t="str">
        <f t="shared" si="7"/>
        <v/>
      </c>
      <c r="I22" s="524" t="str">
        <f t="shared" si="7"/>
        <v/>
      </c>
      <c r="J22" s="524" t="str">
        <f t="shared" si="7"/>
        <v/>
      </c>
      <c r="K22" s="524" t="str">
        <f t="shared" si="7"/>
        <v/>
      </c>
      <c r="L22" s="524" t="str">
        <f t="shared" si="7"/>
        <v/>
      </c>
      <c r="M22" s="524" t="str">
        <f t="shared" si="7"/>
        <v/>
      </c>
      <c r="N22" s="524" t="str">
        <f t="shared" si="7"/>
        <v/>
      </c>
      <c r="O22" s="520">
        <v>6</v>
      </c>
    </row>
    <row r="23" spans="2:15" ht="12.75">
      <c r="B23" s="737" t="str">
        <f t="shared" si="2"/>
        <v>Elektronické mýtné - dle skutečného vývoje sazeb</v>
      </c>
      <c r="C23" s="738"/>
      <c r="D23" s="739"/>
      <c r="E23" s="523"/>
      <c r="F23" s="524">
        <f aca="true" t="shared" si="8" ref="F23">IF(E11=0,"",F11/E11-1)</f>
        <v>-1</v>
      </c>
      <c r="G23" s="524" t="str">
        <f aca="true" t="shared" si="9" ref="G23">IF(F11=0,"",G11/F11-1)</f>
        <v/>
      </c>
      <c r="H23" s="524" t="str">
        <f aca="true" t="shared" si="10" ref="H23">IF(G11=0,"",H11/G11-1)</f>
        <v/>
      </c>
      <c r="I23" s="524" t="str">
        <f aca="true" t="shared" si="11" ref="I23">IF(H11=0,"",I11/H11-1)</f>
        <v/>
      </c>
      <c r="J23" s="524" t="str">
        <f aca="true" t="shared" si="12" ref="J23">IF(I11=0,"",J11/I11-1)</f>
        <v/>
      </c>
      <c r="K23" s="524" t="str">
        <f aca="true" t="shared" si="13" ref="K23">IF(J11=0,"",K11/J11-1)</f>
        <v/>
      </c>
      <c r="L23" s="524" t="str">
        <f aca="true" t="shared" si="14" ref="L23">IF(K11=0,"",L11/K11-1)</f>
        <v/>
      </c>
      <c r="M23" s="524" t="str">
        <f aca="true" t="shared" si="15" ref="M23">IF(L11=0,"",M11/L11-1)</f>
        <v/>
      </c>
      <c r="N23" s="524" t="str">
        <f aca="true" t="shared" si="16" ref="N23">IF(M11=0,"",N11/M11-1)</f>
        <v/>
      </c>
      <c r="O23" s="520">
        <v>7</v>
      </c>
    </row>
    <row r="24" spans="2:15" ht="12.75">
      <c r="B24" s="737" t="str">
        <f t="shared" si="2"/>
        <v>Poplatek KODIS</v>
      </c>
      <c r="C24" s="738"/>
      <c r="D24" s="739"/>
      <c r="E24" s="523"/>
      <c r="F24" s="524">
        <f aca="true" t="shared" si="17" ref="F24:N24">IF(E12=0,"",F12/E12-1)</f>
        <v>-1</v>
      </c>
      <c r="G24" s="524" t="str">
        <f t="shared" si="17"/>
        <v/>
      </c>
      <c r="H24" s="524" t="str">
        <f t="shared" si="17"/>
        <v/>
      </c>
      <c r="I24" s="524" t="str">
        <f t="shared" si="17"/>
        <v/>
      </c>
      <c r="J24" s="524" t="str">
        <f t="shared" si="17"/>
        <v/>
      </c>
      <c r="K24" s="524" t="str">
        <f t="shared" si="17"/>
        <v/>
      </c>
      <c r="L24" s="524" t="str">
        <f t="shared" si="17"/>
        <v/>
      </c>
      <c r="M24" s="524" t="str">
        <f t="shared" si="17"/>
        <v/>
      </c>
      <c r="N24" s="524" t="str">
        <f t="shared" si="17"/>
        <v/>
      </c>
      <c r="O24" s="520">
        <v>8</v>
      </c>
    </row>
    <row r="25" spans="2:15" ht="12.75">
      <c r="B25" s="737" t="str">
        <f t="shared" si="2"/>
        <v>(nepoužívá se)</v>
      </c>
      <c r="C25" s="738"/>
      <c r="D25" s="739"/>
      <c r="E25" s="523"/>
      <c r="F25" s="524">
        <f aca="true" t="shared" si="18" ref="F25:N25">IF(E13=0,"",F13/E13-1)</f>
        <v>-1</v>
      </c>
      <c r="G25" s="524" t="str">
        <f t="shared" si="18"/>
        <v/>
      </c>
      <c r="H25" s="524" t="str">
        <f t="shared" si="18"/>
        <v/>
      </c>
      <c r="I25" s="524" t="str">
        <f t="shared" si="18"/>
        <v/>
      </c>
      <c r="J25" s="524" t="str">
        <f t="shared" si="18"/>
        <v/>
      </c>
      <c r="K25" s="524" t="str">
        <f t="shared" si="18"/>
        <v/>
      </c>
      <c r="L25" s="524" t="str">
        <f t="shared" si="18"/>
        <v/>
      </c>
      <c r="M25" s="524" t="str">
        <f t="shared" si="18"/>
        <v/>
      </c>
      <c r="N25" s="524" t="str">
        <f t="shared" si="18"/>
        <v/>
      </c>
      <c r="O25" s="520">
        <v>9</v>
      </c>
    </row>
    <row r="26" spans="2:15" ht="12.75">
      <c r="B26" s="737" t="str">
        <f t="shared" si="2"/>
        <v>(nepoužívá se)</v>
      </c>
      <c r="C26" s="738"/>
      <c r="D26" s="739"/>
      <c r="E26" s="523"/>
      <c r="F26" s="524">
        <f aca="true" t="shared" si="19" ref="F26:N26">IF(E14=0,"",F14/E14-1)</f>
        <v>-1</v>
      </c>
      <c r="G26" s="524" t="str">
        <f t="shared" si="19"/>
        <v/>
      </c>
      <c r="H26" s="524" t="str">
        <f t="shared" si="19"/>
        <v/>
      </c>
      <c r="I26" s="524" t="str">
        <f t="shared" si="19"/>
        <v/>
      </c>
      <c r="J26" s="524" t="str">
        <f t="shared" si="19"/>
        <v/>
      </c>
      <c r="K26" s="524" t="str">
        <f t="shared" si="19"/>
        <v/>
      </c>
      <c r="L26" s="524" t="str">
        <f t="shared" si="19"/>
        <v/>
      </c>
      <c r="M26" s="524" t="str">
        <f t="shared" si="19"/>
        <v/>
      </c>
      <c r="N26" s="524" t="str">
        <f t="shared" si="19"/>
        <v/>
      </c>
      <c r="O26" s="520">
        <v>10</v>
      </c>
    </row>
    <row r="27" spans="2:14" ht="12.75">
      <c r="B27" s="525"/>
      <c r="C27" s="525"/>
      <c r="D27" s="525"/>
      <c r="E27" s="526"/>
      <c r="F27" s="527"/>
      <c r="G27" s="527"/>
      <c r="H27" s="527"/>
      <c r="I27" s="527"/>
      <c r="J27" s="527"/>
      <c r="K27" s="527"/>
      <c r="L27" s="527"/>
      <c r="M27" s="527"/>
      <c r="N27" s="527"/>
    </row>
    <row r="28" ht="12.75">
      <c r="B28" s="390" t="s">
        <v>90</v>
      </c>
    </row>
    <row r="29" ht="12.75"/>
    <row r="30" spans="2:14" ht="25.5">
      <c r="B30" s="528" t="s">
        <v>35</v>
      </c>
      <c r="C30" s="529" t="s">
        <v>36</v>
      </c>
      <c r="D30" s="439"/>
      <c r="E30" s="439"/>
      <c r="F30" s="529" t="s">
        <v>38</v>
      </c>
      <c r="G30" s="740" t="s">
        <v>37</v>
      </c>
      <c r="H30" s="738"/>
      <c r="I30" s="530" t="s">
        <v>51</v>
      </c>
      <c r="J30" s="439"/>
      <c r="K30" s="439"/>
      <c r="L30" s="439"/>
      <c r="M30" s="439"/>
      <c r="N30" s="426"/>
    </row>
    <row r="31" spans="2:15" ht="12.75">
      <c r="B31" s="500">
        <v>11</v>
      </c>
      <c r="C31" s="439" t="s">
        <v>124</v>
      </c>
      <c r="D31" s="439"/>
      <c r="E31" s="439"/>
      <c r="F31" s="425" t="s">
        <v>22</v>
      </c>
      <c r="G31" s="439" t="s">
        <v>119</v>
      </c>
      <c r="H31" s="439"/>
      <c r="I31" s="735" t="s">
        <v>48</v>
      </c>
      <c r="J31" s="735"/>
      <c r="K31" s="735"/>
      <c r="L31" s="735"/>
      <c r="M31" s="735"/>
      <c r="N31" s="736"/>
      <c r="O31" s="520">
        <f>IF(ISBLANK(I31),0,MATCH(I31,$B$5:$B$14,))</f>
        <v>4</v>
      </c>
    </row>
    <row r="32" spans="2:15" ht="12.75">
      <c r="B32" s="500">
        <v>11</v>
      </c>
      <c r="C32" s="439" t="s">
        <v>124</v>
      </c>
      <c r="D32" s="439"/>
      <c r="E32" s="439"/>
      <c r="F32" s="425" t="s">
        <v>23</v>
      </c>
      <c r="G32" s="439" t="s">
        <v>108</v>
      </c>
      <c r="H32" s="439"/>
      <c r="I32" s="735" t="s">
        <v>270</v>
      </c>
      <c r="J32" s="735"/>
      <c r="K32" s="735"/>
      <c r="L32" s="735"/>
      <c r="M32" s="735"/>
      <c r="N32" s="736"/>
      <c r="O32" s="520">
        <f aca="true" t="shared" si="20" ref="O32:O53">IF(ISBLANK(I32),0,MATCH(I32,$B$5:$B$14,))</f>
        <v>5</v>
      </c>
    </row>
    <row r="33" spans="2:15" ht="12.75">
      <c r="B33" s="500">
        <v>11</v>
      </c>
      <c r="C33" s="439" t="s">
        <v>124</v>
      </c>
      <c r="D33" s="439"/>
      <c r="E33" s="439"/>
      <c r="F33" s="425" t="s">
        <v>24</v>
      </c>
      <c r="G33" s="439" t="s">
        <v>260</v>
      </c>
      <c r="H33" s="439"/>
      <c r="I33" s="735" t="s">
        <v>238</v>
      </c>
      <c r="J33" s="735"/>
      <c r="K33" s="735"/>
      <c r="L33" s="735"/>
      <c r="M33" s="735"/>
      <c r="N33" s="736"/>
      <c r="O33" s="520">
        <f t="shared" si="20"/>
        <v>6</v>
      </c>
    </row>
    <row r="34" spans="2:15" ht="12.75">
      <c r="B34" s="500">
        <v>11</v>
      </c>
      <c r="C34" s="439" t="s">
        <v>124</v>
      </c>
      <c r="D34" s="439"/>
      <c r="E34" s="439"/>
      <c r="F34" s="425" t="s">
        <v>123</v>
      </c>
      <c r="G34" s="439" t="s">
        <v>25</v>
      </c>
      <c r="H34" s="439"/>
      <c r="I34" s="735" t="s">
        <v>52</v>
      </c>
      <c r="J34" s="735"/>
      <c r="K34" s="735"/>
      <c r="L34" s="735"/>
      <c r="M34" s="735"/>
      <c r="N34" s="736"/>
      <c r="O34" s="520">
        <f aca="true" t="shared" si="21" ref="O34">IF(ISBLANK(I34),0,MATCH(I34,$B$5:$B$14,))</f>
        <v>2</v>
      </c>
    </row>
    <row r="35" spans="2:15" ht="12.75">
      <c r="B35" s="500">
        <v>12</v>
      </c>
      <c r="C35" s="439" t="s">
        <v>8</v>
      </c>
      <c r="D35" s="439"/>
      <c r="E35" s="439"/>
      <c r="F35" s="425"/>
      <c r="G35" s="439"/>
      <c r="H35" s="439"/>
      <c r="I35" s="735" t="s">
        <v>52</v>
      </c>
      <c r="J35" s="735"/>
      <c r="K35" s="735"/>
      <c r="L35" s="735"/>
      <c r="M35" s="735"/>
      <c r="N35" s="736"/>
      <c r="O35" s="520">
        <f t="shared" si="20"/>
        <v>2</v>
      </c>
    </row>
    <row r="36" spans="2:15" ht="12.75">
      <c r="B36" s="500">
        <v>13</v>
      </c>
      <c r="C36" s="439" t="s">
        <v>9</v>
      </c>
      <c r="D36" s="439"/>
      <c r="E36" s="439"/>
      <c r="F36" s="425"/>
      <c r="G36" s="439"/>
      <c r="H36" s="439"/>
      <c r="I36" s="735" t="s">
        <v>52</v>
      </c>
      <c r="J36" s="735"/>
      <c r="K36" s="735"/>
      <c r="L36" s="735"/>
      <c r="M36" s="735"/>
      <c r="N36" s="736"/>
      <c r="O36" s="520">
        <f t="shared" si="20"/>
        <v>2</v>
      </c>
    </row>
    <row r="37" spans="2:15" ht="12.75">
      <c r="B37" s="500">
        <v>14</v>
      </c>
      <c r="C37" s="439" t="s">
        <v>10</v>
      </c>
      <c r="D37" s="439"/>
      <c r="E37" s="439"/>
      <c r="F37" s="425" t="s">
        <v>28</v>
      </c>
      <c r="G37" s="439" t="s">
        <v>26</v>
      </c>
      <c r="H37" s="439"/>
      <c r="I37" s="735" t="s">
        <v>52</v>
      </c>
      <c r="J37" s="735"/>
      <c r="K37" s="735"/>
      <c r="L37" s="735"/>
      <c r="M37" s="735"/>
      <c r="N37" s="736"/>
      <c r="O37" s="520">
        <f t="shared" si="20"/>
        <v>2</v>
      </c>
    </row>
    <row r="38" spans="2:15" ht="12.75">
      <c r="B38" s="500">
        <v>14</v>
      </c>
      <c r="C38" s="439" t="s">
        <v>10</v>
      </c>
      <c r="D38" s="439"/>
      <c r="E38" s="439"/>
      <c r="F38" s="425" t="s">
        <v>29</v>
      </c>
      <c r="G38" s="439" t="s">
        <v>25</v>
      </c>
      <c r="H38" s="439"/>
      <c r="I38" s="735" t="s">
        <v>52</v>
      </c>
      <c r="J38" s="735"/>
      <c r="K38" s="735"/>
      <c r="L38" s="735"/>
      <c r="M38" s="735"/>
      <c r="N38" s="736"/>
      <c r="O38" s="520">
        <f t="shared" si="20"/>
        <v>2</v>
      </c>
    </row>
    <row r="39" spans="2:15" ht="12.75">
      <c r="B39" s="500">
        <v>15</v>
      </c>
      <c r="C39" s="439" t="s">
        <v>42</v>
      </c>
      <c r="D39" s="439"/>
      <c r="E39" s="439"/>
      <c r="F39" s="425"/>
      <c r="G39" s="439"/>
      <c r="H39" s="439"/>
      <c r="I39" s="735" t="s">
        <v>52</v>
      </c>
      <c r="J39" s="735"/>
      <c r="K39" s="735"/>
      <c r="L39" s="735"/>
      <c r="M39" s="735"/>
      <c r="N39" s="736"/>
      <c r="O39" s="520">
        <f t="shared" si="20"/>
        <v>2</v>
      </c>
    </row>
    <row r="40" spans="2:15" ht="12.75">
      <c r="B40" s="500">
        <v>16</v>
      </c>
      <c r="C40" s="439" t="s">
        <v>11</v>
      </c>
      <c r="D40" s="439"/>
      <c r="E40" s="439"/>
      <c r="F40" s="425" t="s">
        <v>30</v>
      </c>
      <c r="G40" s="439" t="s">
        <v>27</v>
      </c>
      <c r="H40" s="439"/>
      <c r="I40" s="735" t="s">
        <v>49</v>
      </c>
      <c r="J40" s="735"/>
      <c r="K40" s="735"/>
      <c r="L40" s="735"/>
      <c r="M40" s="735"/>
      <c r="N40" s="736"/>
      <c r="O40" s="520">
        <f t="shared" si="20"/>
        <v>3</v>
      </c>
    </row>
    <row r="41" spans="2:15" ht="12.75">
      <c r="B41" s="500">
        <v>16</v>
      </c>
      <c r="C41" s="439" t="s">
        <v>11</v>
      </c>
      <c r="D41" s="439"/>
      <c r="E41" s="439"/>
      <c r="F41" s="425" t="s">
        <v>31</v>
      </c>
      <c r="G41" s="439" t="s">
        <v>25</v>
      </c>
      <c r="H41" s="439"/>
      <c r="I41" s="735" t="s">
        <v>49</v>
      </c>
      <c r="J41" s="735"/>
      <c r="K41" s="735"/>
      <c r="L41" s="735"/>
      <c r="M41" s="735"/>
      <c r="N41" s="736"/>
      <c r="O41" s="520">
        <f t="shared" si="20"/>
        <v>3</v>
      </c>
    </row>
    <row r="42" spans="2:15" ht="12.75">
      <c r="B42" s="500">
        <v>17</v>
      </c>
      <c r="C42" s="439" t="s">
        <v>12</v>
      </c>
      <c r="D42" s="439"/>
      <c r="E42" s="439"/>
      <c r="F42" s="425" t="s">
        <v>40</v>
      </c>
      <c r="G42" s="439" t="s">
        <v>27</v>
      </c>
      <c r="H42" s="439"/>
      <c r="I42" s="735" t="s">
        <v>49</v>
      </c>
      <c r="J42" s="735"/>
      <c r="K42" s="735"/>
      <c r="L42" s="735"/>
      <c r="M42" s="735"/>
      <c r="N42" s="736"/>
      <c r="O42" s="520">
        <f t="shared" si="20"/>
        <v>3</v>
      </c>
    </row>
    <row r="43" spans="2:15" ht="12.75">
      <c r="B43" s="500">
        <v>17</v>
      </c>
      <c r="C43" s="439" t="s">
        <v>12</v>
      </c>
      <c r="D43" s="439"/>
      <c r="E43" s="439"/>
      <c r="F43" s="425" t="s">
        <v>41</v>
      </c>
      <c r="G43" s="439" t="s">
        <v>25</v>
      </c>
      <c r="H43" s="439"/>
      <c r="I43" s="735" t="s">
        <v>49</v>
      </c>
      <c r="J43" s="735"/>
      <c r="K43" s="735"/>
      <c r="L43" s="735"/>
      <c r="M43" s="735"/>
      <c r="N43" s="736"/>
      <c r="O43" s="520">
        <f t="shared" si="20"/>
        <v>3</v>
      </c>
    </row>
    <row r="44" spans="2:15" ht="12.75">
      <c r="B44" s="500">
        <v>18</v>
      </c>
      <c r="C44" s="439" t="s">
        <v>13</v>
      </c>
      <c r="D44" s="439"/>
      <c r="E44" s="439"/>
      <c r="F44" s="425"/>
      <c r="G44" s="439"/>
      <c r="H44" s="439"/>
      <c r="I44" s="735" t="s">
        <v>52</v>
      </c>
      <c r="J44" s="735"/>
      <c r="K44" s="735"/>
      <c r="L44" s="735"/>
      <c r="M44" s="735"/>
      <c r="N44" s="736"/>
      <c r="O44" s="520">
        <f t="shared" si="20"/>
        <v>2</v>
      </c>
    </row>
    <row r="45" spans="2:15" ht="12.75">
      <c r="B45" s="500">
        <v>19</v>
      </c>
      <c r="C45" s="439" t="s">
        <v>14</v>
      </c>
      <c r="D45" s="439"/>
      <c r="E45" s="439"/>
      <c r="F45" s="425"/>
      <c r="G45" s="439"/>
      <c r="H45" s="439"/>
      <c r="I45" s="735" t="s">
        <v>52</v>
      </c>
      <c r="J45" s="735"/>
      <c r="K45" s="735"/>
      <c r="L45" s="735"/>
      <c r="M45" s="735"/>
      <c r="N45" s="736"/>
      <c r="O45" s="520">
        <f t="shared" si="20"/>
        <v>2</v>
      </c>
    </row>
    <row r="46" spans="2:15" ht="12.75">
      <c r="B46" s="500">
        <v>20</v>
      </c>
      <c r="C46" s="439" t="s">
        <v>15</v>
      </c>
      <c r="D46" s="439"/>
      <c r="E46" s="439"/>
      <c r="F46" s="425"/>
      <c r="G46" s="439"/>
      <c r="H46" s="439"/>
      <c r="I46" s="735" t="s">
        <v>271</v>
      </c>
      <c r="J46" s="735"/>
      <c r="K46" s="735"/>
      <c r="L46" s="735"/>
      <c r="M46" s="735"/>
      <c r="N46" s="736"/>
      <c r="O46" s="520">
        <f t="shared" si="20"/>
        <v>9</v>
      </c>
    </row>
    <row r="47" spans="2:15" ht="12.75">
      <c r="B47" s="500">
        <v>21</v>
      </c>
      <c r="C47" s="439" t="s">
        <v>16</v>
      </c>
      <c r="D47" s="439"/>
      <c r="E47" s="439"/>
      <c r="F47" s="425"/>
      <c r="G47" s="439"/>
      <c r="H47" s="439"/>
      <c r="I47" s="735" t="s">
        <v>96</v>
      </c>
      <c r="J47" s="735"/>
      <c r="K47" s="735"/>
      <c r="L47" s="735"/>
      <c r="M47" s="735"/>
      <c r="N47" s="736"/>
      <c r="O47" s="520">
        <f t="shared" si="20"/>
        <v>7</v>
      </c>
    </row>
    <row r="48" spans="2:15" ht="12.75">
      <c r="B48" s="500">
        <v>22</v>
      </c>
      <c r="C48" s="439" t="s">
        <v>17</v>
      </c>
      <c r="D48" s="439"/>
      <c r="E48" s="439"/>
      <c r="F48" s="425"/>
      <c r="G48" s="439"/>
      <c r="H48" s="439"/>
      <c r="I48" s="735" t="s">
        <v>52</v>
      </c>
      <c r="J48" s="735"/>
      <c r="K48" s="735"/>
      <c r="L48" s="735"/>
      <c r="M48" s="735"/>
      <c r="N48" s="736"/>
      <c r="O48" s="520">
        <f t="shared" si="20"/>
        <v>2</v>
      </c>
    </row>
    <row r="49" spans="2:15" ht="12.75">
      <c r="B49" s="500">
        <v>23</v>
      </c>
      <c r="C49" s="439" t="s">
        <v>18</v>
      </c>
      <c r="D49" s="439"/>
      <c r="E49" s="439"/>
      <c r="F49" s="425"/>
      <c r="G49" s="439"/>
      <c r="H49" s="439"/>
      <c r="I49" s="735" t="s">
        <v>52</v>
      </c>
      <c r="J49" s="735"/>
      <c r="K49" s="735"/>
      <c r="L49" s="735"/>
      <c r="M49" s="735"/>
      <c r="N49" s="736"/>
      <c r="O49" s="520">
        <f t="shared" si="20"/>
        <v>2</v>
      </c>
    </row>
    <row r="50" spans="2:15" ht="12.75">
      <c r="B50" s="500">
        <v>24</v>
      </c>
      <c r="C50" s="439" t="s">
        <v>19</v>
      </c>
      <c r="D50" s="439"/>
      <c r="E50" s="439"/>
      <c r="F50" s="425"/>
      <c r="G50" s="439"/>
      <c r="H50" s="439"/>
      <c r="I50" s="735" t="s">
        <v>52</v>
      </c>
      <c r="J50" s="735"/>
      <c r="K50" s="735"/>
      <c r="L50" s="735"/>
      <c r="M50" s="735"/>
      <c r="N50" s="736"/>
      <c r="O50" s="520">
        <f t="shared" si="20"/>
        <v>2</v>
      </c>
    </row>
    <row r="51" spans="2:15" ht="12.75">
      <c r="B51" s="500">
        <v>25</v>
      </c>
      <c r="C51" s="439" t="s">
        <v>20</v>
      </c>
      <c r="D51" s="439"/>
      <c r="E51" s="439"/>
      <c r="F51" s="425"/>
      <c r="G51" s="439"/>
      <c r="H51" s="439"/>
      <c r="I51" s="735" t="s">
        <v>52</v>
      </c>
      <c r="J51" s="735"/>
      <c r="K51" s="735"/>
      <c r="L51" s="735"/>
      <c r="M51" s="735"/>
      <c r="N51" s="736"/>
      <c r="O51" s="520">
        <f t="shared" si="20"/>
        <v>2</v>
      </c>
    </row>
    <row r="52" spans="2:15" ht="12.75">
      <c r="B52" s="531">
        <v>97</v>
      </c>
      <c r="C52" s="439" t="s">
        <v>43</v>
      </c>
      <c r="D52" s="439"/>
      <c r="E52" s="439"/>
      <c r="F52" s="425"/>
      <c r="G52" s="439"/>
      <c r="H52" s="439"/>
      <c r="I52" s="735" t="s">
        <v>52</v>
      </c>
      <c r="J52" s="735"/>
      <c r="K52" s="735"/>
      <c r="L52" s="735"/>
      <c r="M52" s="735"/>
      <c r="N52" s="736"/>
      <c r="O52" s="520">
        <f t="shared" si="20"/>
        <v>2</v>
      </c>
    </row>
    <row r="53" spans="2:15" ht="12.75">
      <c r="B53" s="531">
        <v>98</v>
      </c>
      <c r="C53" s="439" t="s">
        <v>44</v>
      </c>
      <c r="D53" s="439"/>
      <c r="E53" s="439"/>
      <c r="F53" s="425"/>
      <c r="G53" s="439"/>
      <c r="H53" s="439"/>
      <c r="I53" s="735" t="s">
        <v>52</v>
      </c>
      <c r="J53" s="735"/>
      <c r="K53" s="735"/>
      <c r="L53" s="735"/>
      <c r="M53" s="735"/>
      <c r="N53" s="736"/>
      <c r="O53" s="520">
        <f t="shared" si="20"/>
        <v>2</v>
      </c>
    </row>
    <row r="54" spans="2:15" ht="12.75">
      <c r="B54" s="531">
        <v>99</v>
      </c>
      <c r="C54" s="439" t="s">
        <v>226</v>
      </c>
      <c r="D54" s="439"/>
      <c r="E54" s="439"/>
      <c r="F54" s="425"/>
      <c r="G54" s="439"/>
      <c r="H54" s="439"/>
      <c r="I54" s="735" t="s">
        <v>226</v>
      </c>
      <c r="J54" s="735"/>
      <c r="K54" s="735"/>
      <c r="L54" s="735"/>
      <c r="M54" s="735"/>
      <c r="N54" s="736"/>
      <c r="O54" s="520">
        <f aca="true" t="shared" si="22" ref="O54">IF(ISBLANK(I54),0,MATCH(I54,$B$5:$B$14,))</f>
        <v>8</v>
      </c>
    </row>
    <row r="55" ht="12.75"/>
    <row r="56" ht="12.75" hidden="1"/>
    <row r="57" ht="12.75" hidden="1"/>
  </sheetData>
  <sheetProtection password="EEFD" sheet="1" scenarios="1" formatRows="0"/>
  <mergeCells count="45">
    <mergeCell ref="I46:N46"/>
    <mergeCell ref="I47:N47"/>
    <mergeCell ref="I36:N36"/>
    <mergeCell ref="G30:H30"/>
    <mergeCell ref="I31:N31"/>
    <mergeCell ref="I32:N32"/>
    <mergeCell ref="I33:N33"/>
    <mergeCell ref="I35:N35"/>
    <mergeCell ref="I34:N34"/>
    <mergeCell ref="I41:N41"/>
    <mergeCell ref="I42:N42"/>
    <mergeCell ref="I43:N43"/>
    <mergeCell ref="I44:N44"/>
    <mergeCell ref="I45:N45"/>
    <mergeCell ref="B5:D5"/>
    <mergeCell ref="B6:D6"/>
    <mergeCell ref="B7:D7"/>
    <mergeCell ref="B8:D8"/>
    <mergeCell ref="B9:D9"/>
    <mergeCell ref="B10:D10"/>
    <mergeCell ref="B11:D11"/>
    <mergeCell ref="B12:D12"/>
    <mergeCell ref="B13:D13"/>
    <mergeCell ref="B14:D14"/>
    <mergeCell ref="B17:D17"/>
    <mergeCell ref="B18:D18"/>
    <mergeCell ref="B19:D19"/>
    <mergeCell ref="B20:D20"/>
    <mergeCell ref="B21:D21"/>
    <mergeCell ref="I54:N54"/>
    <mergeCell ref="B22:D22"/>
    <mergeCell ref="B23:D23"/>
    <mergeCell ref="B24:D24"/>
    <mergeCell ref="B25:D25"/>
    <mergeCell ref="B26:D26"/>
    <mergeCell ref="I49:N49"/>
    <mergeCell ref="I50:N50"/>
    <mergeCell ref="I51:N51"/>
    <mergeCell ref="I52:N52"/>
    <mergeCell ref="I53:N53"/>
    <mergeCell ref="I48:N48"/>
    <mergeCell ref="I37:N37"/>
    <mergeCell ref="I38:N38"/>
    <mergeCell ref="I39:N39"/>
    <mergeCell ref="I40:N40"/>
  </mergeCells>
  <dataValidations count="1">
    <dataValidation type="list" allowBlank="1" showInputMessage="1" showErrorMessage="1" sqref="I31:I54">
      <formula1>$B$5:$B$14</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72" r:id="rId1"/>
  <headerFooter>
    <oddHeader>&amp;C&amp;F</oddHeader>
    <oddFooter>&amp;C&amp;A</oddFooter>
  </headerFooter>
  <rowBreaks count="1" manualBreakCount="1">
    <brk id="27" min="1"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6"/>
  <sheetViews>
    <sheetView workbookViewId="0" topLeftCell="A1"/>
  </sheetViews>
  <sheetFormatPr defaultColWidth="0" defaultRowHeight="12.75" customHeight="1" zeroHeight="1"/>
  <cols>
    <col min="1" max="1" width="4.7109375" style="9" customWidth="1"/>
    <col min="2" max="2" width="9.140625" style="9" customWidth="1"/>
    <col min="3" max="3" width="27.57421875" style="9" customWidth="1"/>
    <col min="4" max="4" width="16.8515625" style="9" customWidth="1"/>
    <col min="5" max="14" width="14.7109375" style="9" customWidth="1"/>
    <col min="15" max="15" width="4.7109375" style="88" customWidth="1"/>
    <col min="16" max="16384" width="9.140625" style="9" hidden="1" customWidth="1"/>
  </cols>
  <sheetData>
    <row r="1" s="10" customFormat="1" ht="12.75">
      <c r="O1" s="50"/>
    </row>
    <row r="2" spans="2:15" s="10" customFormat="1" ht="12.75">
      <c r="B2" s="11" t="s">
        <v>72</v>
      </c>
      <c r="O2" s="50"/>
    </row>
    <row r="3" spans="5:15" s="10" customFormat="1" ht="12.75">
      <c r="E3" s="10" t="s">
        <v>74</v>
      </c>
      <c r="H3" s="10" t="s">
        <v>75</v>
      </c>
      <c r="K3" s="10" t="s">
        <v>76</v>
      </c>
      <c r="N3" s="10" t="s">
        <v>77</v>
      </c>
      <c r="O3" s="50"/>
    </row>
    <row r="4" spans="2:15" s="10" customFormat="1" ht="12.75">
      <c r="B4" s="53" t="s">
        <v>35</v>
      </c>
      <c r="C4" s="53" t="s">
        <v>65</v>
      </c>
      <c r="D4" s="54"/>
      <c r="E4" s="73">
        <f>VR</f>
        <v>1</v>
      </c>
      <c r="F4" s="74">
        <f>E4+1</f>
        <v>2</v>
      </c>
      <c r="G4" s="74">
        <f aca="true" t="shared" si="0" ref="G4:N4">F4+1</f>
        <v>3</v>
      </c>
      <c r="H4" s="75">
        <f t="shared" si="0"/>
        <v>4</v>
      </c>
      <c r="I4" s="75">
        <f t="shared" si="0"/>
        <v>5</v>
      </c>
      <c r="J4" s="75">
        <f t="shared" si="0"/>
        <v>6</v>
      </c>
      <c r="K4" s="76">
        <f t="shared" si="0"/>
        <v>7</v>
      </c>
      <c r="L4" s="76">
        <f t="shared" si="0"/>
        <v>8</v>
      </c>
      <c r="M4" s="76">
        <f t="shared" si="0"/>
        <v>9</v>
      </c>
      <c r="N4" s="58">
        <f t="shared" si="0"/>
        <v>10</v>
      </c>
      <c r="O4" s="50"/>
    </row>
    <row r="5" spans="2:15" s="10" customFormat="1" ht="12.75">
      <c r="B5" s="56" t="s">
        <v>22</v>
      </c>
      <c r="C5" s="47" t="s">
        <v>56</v>
      </c>
      <c r="D5" s="48"/>
      <c r="E5" s="71">
        <f>'Vypocty NAFTA'!E8+'Modelovane odlisnosti'!E5</f>
        <v>0</v>
      </c>
      <c r="F5" s="71">
        <f>'Vypocty NAFTA'!F8+'Modelovane odlisnosti'!F5</f>
        <v>0</v>
      </c>
      <c r="G5" s="71">
        <f>'Vypocty NAFTA'!G8+'Modelovane odlisnosti'!G5</f>
        <v>0</v>
      </c>
      <c r="H5" s="71">
        <f>'Vypocty NAFTA'!H8+'Modelovane odlisnosti'!H5</f>
        <v>0</v>
      </c>
      <c r="I5" s="71">
        <f>'Vypocty NAFTA'!I8+'Modelovane odlisnosti'!I5</f>
        <v>0</v>
      </c>
      <c r="J5" s="71">
        <f>'Vypocty NAFTA'!J8+'Modelovane odlisnosti'!J5</f>
        <v>0</v>
      </c>
      <c r="K5" s="71">
        <f>'Vypocty NAFTA'!K8+'Modelovane odlisnosti'!K5</f>
        <v>0</v>
      </c>
      <c r="L5" s="71">
        <f>'Vypocty NAFTA'!L8+'Modelovane odlisnosti'!L5</f>
        <v>0</v>
      </c>
      <c r="M5" s="71">
        <f>'Vypocty NAFTA'!M8+'Modelovane odlisnosti'!M5</f>
        <v>0</v>
      </c>
      <c r="N5" s="71">
        <f>'Vypocty NAFTA'!N8+'Modelovane odlisnosti'!N5</f>
        <v>0</v>
      </c>
      <c r="O5" s="50"/>
    </row>
    <row r="6" spans="2:15" s="10" customFormat="1" ht="12.75">
      <c r="B6" s="56" t="s">
        <v>23</v>
      </c>
      <c r="C6" s="47" t="s">
        <v>57</v>
      </c>
      <c r="D6" s="48"/>
      <c r="E6" s="71">
        <f>'Vypocty NAFTA'!E9+'Modelovane odlisnosti'!E6</f>
        <v>0</v>
      </c>
      <c r="F6" s="71">
        <f>'Vypocty NAFTA'!F9+'Modelovane odlisnosti'!F6</f>
        <v>-1000000</v>
      </c>
      <c r="G6" s="71">
        <f>'Vypocty NAFTA'!G9+'Modelovane odlisnosti'!G6</f>
        <v>-1000000</v>
      </c>
      <c r="H6" s="71">
        <f>'Vypocty NAFTA'!H9+'Modelovane odlisnosti'!H6</f>
        <v>0</v>
      </c>
      <c r="I6" s="71">
        <f>'Vypocty NAFTA'!I9+'Modelovane odlisnosti'!I6</f>
        <v>0</v>
      </c>
      <c r="J6" s="71">
        <f>'Vypocty NAFTA'!J9+'Modelovane odlisnosti'!J6</f>
        <v>0</v>
      </c>
      <c r="K6" s="71">
        <f>'Vypocty NAFTA'!K9+'Modelovane odlisnosti'!K6</f>
        <v>0</v>
      </c>
      <c r="L6" s="71">
        <f>'Vypocty NAFTA'!L9+'Modelovane odlisnosti'!L6</f>
        <v>0</v>
      </c>
      <c r="M6" s="71">
        <f>'Vypocty NAFTA'!M9+'Modelovane odlisnosti'!M6</f>
        <v>0</v>
      </c>
      <c r="N6" s="71">
        <f>'Vypocty NAFTA'!N9+'Modelovane odlisnosti'!N6</f>
        <v>0</v>
      </c>
      <c r="O6" s="50"/>
    </row>
    <row r="7" spans="2:15" s="10" customFormat="1" ht="12.75">
      <c r="B7" s="56" t="s">
        <v>24</v>
      </c>
      <c r="C7" s="47" t="s">
        <v>58</v>
      </c>
      <c r="D7" s="48"/>
      <c r="E7" s="71">
        <f>'Vypocty NAFTA'!E10+'Modelovane odlisnosti'!E7</f>
        <v>0</v>
      </c>
      <c r="F7" s="71">
        <f>'Vypocty NAFTA'!F10+'Modelovane odlisnosti'!F7</f>
        <v>0</v>
      </c>
      <c r="G7" s="71">
        <f>'Vypocty NAFTA'!G10+'Modelovane odlisnosti'!G7</f>
        <v>0</v>
      </c>
      <c r="H7" s="71">
        <f>'Vypocty NAFTA'!H10+'Modelovane odlisnosti'!H7</f>
        <v>0</v>
      </c>
      <c r="I7" s="71">
        <f>'Vypocty NAFTA'!I10+'Modelovane odlisnosti'!I7</f>
        <v>0</v>
      </c>
      <c r="J7" s="71">
        <f>'Vypocty NAFTA'!J10+'Modelovane odlisnosti'!J7</f>
        <v>0</v>
      </c>
      <c r="K7" s="71">
        <f>'Vypocty NAFTA'!K10+'Modelovane odlisnosti'!K7</f>
        <v>0</v>
      </c>
      <c r="L7" s="71">
        <f>'Vypocty NAFTA'!L10+'Modelovane odlisnosti'!L7</f>
        <v>0</v>
      </c>
      <c r="M7" s="71">
        <f>'Vypocty NAFTA'!M10+'Modelovane odlisnosti'!M7</f>
        <v>0</v>
      </c>
      <c r="N7" s="71">
        <f>'Vypocty NAFTA'!N10+'Modelovane odlisnosti'!N7</f>
        <v>0</v>
      </c>
      <c r="O7" s="50"/>
    </row>
    <row r="8" spans="2:15" s="10" customFormat="1" ht="12.75">
      <c r="B8" s="56">
        <v>12</v>
      </c>
      <c r="C8" s="47" t="s">
        <v>8</v>
      </c>
      <c r="D8" s="48"/>
      <c r="E8" s="71">
        <f>'Vypocty NAFTA'!E12+'Modelovane odlisnosti'!E8</f>
        <v>0</v>
      </c>
      <c r="F8" s="71">
        <f>'Vypocty NAFTA'!F12+'Modelovane odlisnosti'!F8</f>
        <v>0</v>
      </c>
      <c r="G8" s="71">
        <f>'Vypocty NAFTA'!G12+'Modelovane odlisnosti'!G8</f>
        <v>0</v>
      </c>
      <c r="H8" s="71">
        <f>'Vypocty NAFTA'!H12+'Modelovane odlisnosti'!H8</f>
        <v>0</v>
      </c>
      <c r="I8" s="71">
        <f>'Vypocty NAFTA'!I12+'Modelovane odlisnosti'!I8</f>
        <v>0</v>
      </c>
      <c r="J8" s="71">
        <f>'Vypocty NAFTA'!J12+'Modelovane odlisnosti'!J8</f>
        <v>0</v>
      </c>
      <c r="K8" s="71">
        <f>'Vypocty NAFTA'!K12+'Modelovane odlisnosti'!K8</f>
        <v>0</v>
      </c>
      <c r="L8" s="71">
        <f>'Vypocty NAFTA'!L12+'Modelovane odlisnosti'!L8</f>
        <v>0</v>
      </c>
      <c r="M8" s="71">
        <f>'Vypocty NAFTA'!M12+'Modelovane odlisnosti'!M8</f>
        <v>0</v>
      </c>
      <c r="N8" s="71">
        <f>'Vypocty NAFTA'!N12+'Modelovane odlisnosti'!N8</f>
        <v>0</v>
      </c>
      <c r="O8" s="50"/>
    </row>
    <row r="9" spans="2:15" s="10" customFormat="1" ht="12.75">
      <c r="B9" s="56">
        <v>13</v>
      </c>
      <c r="C9" s="47" t="s">
        <v>9</v>
      </c>
      <c r="D9" s="48"/>
      <c r="E9" s="71">
        <f>'Vypocty NAFTA'!E13+'Modelovane odlisnosti'!E9</f>
        <v>0</v>
      </c>
      <c r="F9" s="71">
        <f>'Vypocty NAFTA'!F13+'Modelovane odlisnosti'!F9</f>
        <v>0</v>
      </c>
      <c r="G9" s="71">
        <f>'Vypocty NAFTA'!G13+'Modelovane odlisnosti'!G9</f>
        <v>0</v>
      </c>
      <c r="H9" s="71">
        <f>'Vypocty NAFTA'!H13+'Modelovane odlisnosti'!H9</f>
        <v>0</v>
      </c>
      <c r="I9" s="71">
        <f>'Vypocty NAFTA'!I13+'Modelovane odlisnosti'!I9</f>
        <v>0</v>
      </c>
      <c r="J9" s="71">
        <f>'Vypocty NAFTA'!J13+'Modelovane odlisnosti'!J9</f>
        <v>0</v>
      </c>
      <c r="K9" s="71">
        <f>'Vypocty NAFTA'!K13+'Modelovane odlisnosti'!K9</f>
        <v>0</v>
      </c>
      <c r="L9" s="71">
        <f>'Vypocty NAFTA'!L13+'Modelovane odlisnosti'!L9</f>
        <v>0</v>
      </c>
      <c r="M9" s="71">
        <f>'Vypocty NAFTA'!M13+'Modelovane odlisnosti'!M9</f>
        <v>0</v>
      </c>
      <c r="N9" s="71">
        <f>'Vypocty NAFTA'!N13+'Modelovane odlisnosti'!N9</f>
        <v>0</v>
      </c>
      <c r="O9" s="50"/>
    </row>
    <row r="10" spans="2:15" s="10" customFormat="1" ht="12.75">
      <c r="B10" s="56" t="s">
        <v>28</v>
      </c>
      <c r="C10" s="47" t="s">
        <v>59</v>
      </c>
      <c r="D10" s="48"/>
      <c r="E10" s="71">
        <f>'Vypocty NAFTA'!E14+'Modelovane odlisnosti'!E10</f>
        <v>0</v>
      </c>
      <c r="F10" s="71">
        <f>'Vypocty NAFTA'!F14+'Modelovane odlisnosti'!F10</f>
        <v>0</v>
      </c>
      <c r="G10" s="71">
        <f>'Vypocty NAFTA'!G14+'Modelovane odlisnosti'!G10</f>
        <v>0</v>
      </c>
      <c r="H10" s="71">
        <f>'Vypocty NAFTA'!H14+'Modelovane odlisnosti'!H10</f>
        <v>0</v>
      </c>
      <c r="I10" s="71">
        <f>'Vypocty NAFTA'!I14+'Modelovane odlisnosti'!I10</f>
        <v>0</v>
      </c>
      <c r="J10" s="71">
        <f>'Vypocty NAFTA'!J14+'Modelovane odlisnosti'!J10</f>
        <v>0</v>
      </c>
      <c r="K10" s="71">
        <f>'Vypocty NAFTA'!K14+'Modelovane odlisnosti'!K10</f>
        <v>0</v>
      </c>
      <c r="L10" s="71">
        <f>'Vypocty NAFTA'!L14+'Modelovane odlisnosti'!L10</f>
        <v>0</v>
      </c>
      <c r="M10" s="71">
        <f>'Vypocty NAFTA'!M14+'Modelovane odlisnosti'!M10</f>
        <v>0</v>
      </c>
      <c r="N10" s="71">
        <f>'Vypocty NAFTA'!N14+'Modelovane odlisnosti'!N10</f>
        <v>0</v>
      </c>
      <c r="O10" s="50"/>
    </row>
    <row r="11" spans="2:15" s="10" customFormat="1" ht="12.75">
      <c r="B11" s="56" t="s">
        <v>29</v>
      </c>
      <c r="C11" s="47" t="s">
        <v>60</v>
      </c>
      <c r="D11" s="48"/>
      <c r="E11" s="71">
        <f>'Vypocty NAFTA'!E15+'Modelovane odlisnosti'!E11</f>
        <v>0</v>
      </c>
      <c r="F11" s="71">
        <f>'Vypocty NAFTA'!F15+'Modelovane odlisnosti'!F11</f>
        <v>0</v>
      </c>
      <c r="G11" s="71">
        <f>'Vypocty NAFTA'!G15+'Modelovane odlisnosti'!G11</f>
        <v>0</v>
      </c>
      <c r="H11" s="71">
        <f>'Vypocty NAFTA'!H15+'Modelovane odlisnosti'!H11</f>
        <v>0</v>
      </c>
      <c r="I11" s="71">
        <f>'Vypocty NAFTA'!I15+'Modelovane odlisnosti'!I11</f>
        <v>0</v>
      </c>
      <c r="J11" s="71">
        <f>'Vypocty NAFTA'!J15+'Modelovane odlisnosti'!J11</f>
        <v>0</v>
      </c>
      <c r="K11" s="71">
        <f>'Vypocty NAFTA'!K15+'Modelovane odlisnosti'!K11</f>
        <v>0</v>
      </c>
      <c r="L11" s="71">
        <f>'Vypocty NAFTA'!L15+'Modelovane odlisnosti'!L11</f>
        <v>0</v>
      </c>
      <c r="M11" s="71">
        <f>'Vypocty NAFTA'!M15+'Modelovane odlisnosti'!M11</f>
        <v>0</v>
      </c>
      <c r="N11" s="71">
        <f>'Vypocty NAFTA'!N15+'Modelovane odlisnosti'!N11</f>
        <v>0</v>
      </c>
      <c r="O11" s="50"/>
    </row>
    <row r="12" spans="2:15" s="10" customFormat="1" ht="12.75">
      <c r="B12" s="56">
        <v>15</v>
      </c>
      <c r="C12" s="47" t="s">
        <v>42</v>
      </c>
      <c r="D12" s="48"/>
      <c r="E12" s="71">
        <f>'Vypocty NAFTA'!E16+'Modelovane odlisnosti'!E12</f>
        <v>0</v>
      </c>
      <c r="F12" s="71">
        <f>'Vypocty NAFTA'!F16+'Modelovane odlisnosti'!F12</f>
        <v>0</v>
      </c>
      <c r="G12" s="71">
        <f>'Vypocty NAFTA'!G16+'Modelovane odlisnosti'!G12</f>
        <v>0</v>
      </c>
      <c r="H12" s="71">
        <f>'Vypocty NAFTA'!H16+'Modelovane odlisnosti'!H12</f>
        <v>0</v>
      </c>
      <c r="I12" s="71">
        <f>'Vypocty NAFTA'!I16+'Modelovane odlisnosti'!I12</f>
        <v>0</v>
      </c>
      <c r="J12" s="71">
        <f>'Vypocty NAFTA'!J16+'Modelovane odlisnosti'!J12</f>
        <v>0</v>
      </c>
      <c r="K12" s="71">
        <f>'Vypocty NAFTA'!K16+'Modelovane odlisnosti'!K12</f>
        <v>0</v>
      </c>
      <c r="L12" s="71">
        <f>'Vypocty NAFTA'!L16+'Modelovane odlisnosti'!L12</f>
        <v>0</v>
      </c>
      <c r="M12" s="71">
        <f>'Vypocty NAFTA'!M16+'Modelovane odlisnosti'!M12</f>
        <v>0</v>
      </c>
      <c r="N12" s="71">
        <f>'Vypocty NAFTA'!N16+'Modelovane odlisnosti'!N12</f>
        <v>0</v>
      </c>
      <c r="O12" s="50"/>
    </row>
    <row r="13" spans="2:15" s="10" customFormat="1" ht="12.75">
      <c r="B13" s="56" t="s">
        <v>30</v>
      </c>
      <c r="C13" s="47" t="s">
        <v>61</v>
      </c>
      <c r="D13" s="48"/>
      <c r="E13" s="71">
        <f>'Vypocty NAFTA'!E17+'Modelovane odlisnosti'!E13</f>
        <v>0</v>
      </c>
      <c r="F13" s="71">
        <f>'Vypocty NAFTA'!F17+'Modelovane odlisnosti'!F13</f>
        <v>0</v>
      </c>
      <c r="G13" s="71">
        <f>'Vypocty NAFTA'!G17+'Modelovane odlisnosti'!G13</f>
        <v>0</v>
      </c>
      <c r="H13" s="71">
        <f>'Vypocty NAFTA'!H17+'Modelovane odlisnosti'!H13</f>
        <v>0</v>
      </c>
      <c r="I13" s="71">
        <f>'Vypocty NAFTA'!I17+'Modelovane odlisnosti'!I13</f>
        <v>0</v>
      </c>
      <c r="J13" s="71">
        <f>'Vypocty NAFTA'!J17+'Modelovane odlisnosti'!J13</f>
        <v>0</v>
      </c>
      <c r="K13" s="71">
        <f>'Vypocty NAFTA'!K17+'Modelovane odlisnosti'!K13</f>
        <v>0</v>
      </c>
      <c r="L13" s="71">
        <f>'Vypocty NAFTA'!L17+'Modelovane odlisnosti'!L13</f>
        <v>0</v>
      </c>
      <c r="M13" s="71">
        <f>'Vypocty NAFTA'!M17+'Modelovane odlisnosti'!M13</f>
        <v>0</v>
      </c>
      <c r="N13" s="71">
        <f>'Vypocty NAFTA'!N17+'Modelovane odlisnosti'!N13</f>
        <v>0</v>
      </c>
      <c r="O13" s="50"/>
    </row>
    <row r="14" spans="2:15" s="10" customFormat="1" ht="12.75">
      <c r="B14" s="56" t="s">
        <v>31</v>
      </c>
      <c r="C14" s="47" t="s">
        <v>62</v>
      </c>
      <c r="D14" s="48"/>
      <c r="E14" s="71">
        <f>'Vypocty NAFTA'!E18+'Modelovane odlisnosti'!E14</f>
        <v>0</v>
      </c>
      <c r="F14" s="71">
        <f>'Vypocty NAFTA'!F18+'Modelovane odlisnosti'!F14</f>
        <v>0</v>
      </c>
      <c r="G14" s="71">
        <f>'Vypocty NAFTA'!G18+'Modelovane odlisnosti'!G14</f>
        <v>0</v>
      </c>
      <c r="H14" s="71">
        <f>'Vypocty NAFTA'!H18+'Modelovane odlisnosti'!H14</f>
        <v>0</v>
      </c>
      <c r="I14" s="71">
        <f>'Vypocty NAFTA'!I18+'Modelovane odlisnosti'!I14</f>
        <v>0</v>
      </c>
      <c r="J14" s="71">
        <f>'Vypocty NAFTA'!J18+'Modelovane odlisnosti'!J14</f>
        <v>0</v>
      </c>
      <c r="K14" s="71">
        <f>'Vypocty NAFTA'!K18+'Modelovane odlisnosti'!K14</f>
        <v>0</v>
      </c>
      <c r="L14" s="71">
        <f>'Vypocty NAFTA'!L18+'Modelovane odlisnosti'!L14</f>
        <v>0</v>
      </c>
      <c r="M14" s="71">
        <f>'Vypocty NAFTA'!M18+'Modelovane odlisnosti'!M14</f>
        <v>0</v>
      </c>
      <c r="N14" s="71">
        <f>'Vypocty NAFTA'!N18+'Modelovane odlisnosti'!N14</f>
        <v>0</v>
      </c>
      <c r="O14" s="50"/>
    </row>
    <row r="15" spans="2:15" s="10" customFormat="1" ht="12.75">
      <c r="B15" s="56" t="s">
        <v>40</v>
      </c>
      <c r="C15" s="47" t="s">
        <v>63</v>
      </c>
      <c r="D15" s="48"/>
      <c r="E15" s="71">
        <f>'Vypocty NAFTA'!E19+'Modelovane odlisnosti'!E15</f>
        <v>0</v>
      </c>
      <c r="F15" s="71">
        <f>'Vypocty NAFTA'!F19+'Modelovane odlisnosti'!F15</f>
        <v>0</v>
      </c>
      <c r="G15" s="71">
        <f>'Vypocty NAFTA'!G19+'Modelovane odlisnosti'!G15</f>
        <v>0</v>
      </c>
      <c r="H15" s="71">
        <f>'Vypocty NAFTA'!H19+'Modelovane odlisnosti'!H15</f>
        <v>0</v>
      </c>
      <c r="I15" s="71">
        <f>'Vypocty NAFTA'!I19+'Modelovane odlisnosti'!I15</f>
        <v>0</v>
      </c>
      <c r="J15" s="71">
        <f>'Vypocty NAFTA'!J19+'Modelovane odlisnosti'!J15</f>
        <v>0</v>
      </c>
      <c r="K15" s="71">
        <f>'Vypocty NAFTA'!K19+'Modelovane odlisnosti'!K15</f>
        <v>0</v>
      </c>
      <c r="L15" s="71">
        <f>'Vypocty NAFTA'!L19+'Modelovane odlisnosti'!L15</f>
        <v>0</v>
      </c>
      <c r="M15" s="71">
        <f>'Vypocty NAFTA'!M19+'Modelovane odlisnosti'!M15</f>
        <v>0</v>
      </c>
      <c r="N15" s="71">
        <f>'Vypocty NAFTA'!N19+'Modelovane odlisnosti'!N15</f>
        <v>0</v>
      </c>
      <c r="O15" s="50"/>
    </row>
    <row r="16" spans="2:15" s="10" customFormat="1" ht="12.75">
      <c r="B16" s="56" t="s">
        <v>41</v>
      </c>
      <c r="C16" s="47" t="s">
        <v>64</v>
      </c>
      <c r="D16" s="48"/>
      <c r="E16" s="71">
        <f>'Vypocty NAFTA'!E20+'Modelovane odlisnosti'!E16</f>
        <v>0</v>
      </c>
      <c r="F16" s="71">
        <f>'Vypocty NAFTA'!F20+'Modelovane odlisnosti'!F16</f>
        <v>0</v>
      </c>
      <c r="G16" s="71">
        <f>'Vypocty NAFTA'!G20+'Modelovane odlisnosti'!G16</f>
        <v>0</v>
      </c>
      <c r="H16" s="71">
        <f>'Vypocty NAFTA'!H20+'Modelovane odlisnosti'!H16</f>
        <v>0</v>
      </c>
      <c r="I16" s="71">
        <f>'Vypocty NAFTA'!I20+'Modelovane odlisnosti'!I16</f>
        <v>0</v>
      </c>
      <c r="J16" s="71">
        <f>'Vypocty NAFTA'!J20+'Modelovane odlisnosti'!J16</f>
        <v>0</v>
      </c>
      <c r="K16" s="71">
        <f>'Vypocty NAFTA'!K20+'Modelovane odlisnosti'!K16</f>
        <v>0</v>
      </c>
      <c r="L16" s="71">
        <f>'Vypocty NAFTA'!L20+'Modelovane odlisnosti'!L16</f>
        <v>0</v>
      </c>
      <c r="M16" s="71">
        <f>'Vypocty NAFTA'!M20+'Modelovane odlisnosti'!M16</f>
        <v>0</v>
      </c>
      <c r="N16" s="71">
        <f>'Vypocty NAFTA'!N20+'Modelovane odlisnosti'!N16</f>
        <v>0</v>
      </c>
      <c r="O16" s="50"/>
    </row>
    <row r="17" spans="2:15" s="10" customFormat="1" ht="12.75">
      <c r="B17" s="56">
        <v>18</v>
      </c>
      <c r="C17" s="47" t="s">
        <v>13</v>
      </c>
      <c r="D17" s="48"/>
      <c r="E17" s="71">
        <f>'Vypocty NAFTA'!E21+'Modelovane odlisnosti'!E17</f>
        <v>0</v>
      </c>
      <c r="F17" s="71">
        <f>'Vypocty NAFTA'!F21+'Modelovane odlisnosti'!F17</f>
        <v>0</v>
      </c>
      <c r="G17" s="71">
        <f>'Vypocty NAFTA'!G21+'Modelovane odlisnosti'!G17</f>
        <v>0</v>
      </c>
      <c r="H17" s="71">
        <f>'Vypocty NAFTA'!H21+'Modelovane odlisnosti'!H17</f>
        <v>0</v>
      </c>
      <c r="I17" s="71">
        <f>'Vypocty NAFTA'!I21+'Modelovane odlisnosti'!I17</f>
        <v>0</v>
      </c>
      <c r="J17" s="71">
        <f>'Vypocty NAFTA'!J21+'Modelovane odlisnosti'!J17</f>
        <v>0</v>
      </c>
      <c r="K17" s="71">
        <f>'Vypocty NAFTA'!K21+'Modelovane odlisnosti'!K17</f>
        <v>0</v>
      </c>
      <c r="L17" s="71">
        <f>'Vypocty NAFTA'!L21+'Modelovane odlisnosti'!L17</f>
        <v>0</v>
      </c>
      <c r="M17" s="71">
        <f>'Vypocty NAFTA'!M21+'Modelovane odlisnosti'!M17</f>
        <v>0</v>
      </c>
      <c r="N17" s="71">
        <f>'Vypocty NAFTA'!N21+'Modelovane odlisnosti'!N17</f>
        <v>0</v>
      </c>
      <c r="O17" s="50"/>
    </row>
    <row r="18" spans="2:15" s="10" customFormat="1" ht="12.75">
      <c r="B18" s="56">
        <v>19</v>
      </c>
      <c r="C18" s="47" t="s">
        <v>14</v>
      </c>
      <c r="D18" s="48"/>
      <c r="E18" s="71">
        <f>'Vypocty NAFTA'!E22+'Modelovane odlisnosti'!E18</f>
        <v>0</v>
      </c>
      <c r="F18" s="71">
        <f>'Vypocty NAFTA'!F22+'Modelovane odlisnosti'!F18</f>
        <v>0</v>
      </c>
      <c r="G18" s="71">
        <f>'Vypocty NAFTA'!G22+'Modelovane odlisnosti'!G18</f>
        <v>0</v>
      </c>
      <c r="H18" s="71">
        <f>'Vypocty NAFTA'!H22+'Modelovane odlisnosti'!H18</f>
        <v>0</v>
      </c>
      <c r="I18" s="71">
        <f>'Vypocty NAFTA'!I22+'Modelovane odlisnosti'!I18</f>
        <v>0</v>
      </c>
      <c r="J18" s="71">
        <f>'Vypocty NAFTA'!J22+'Modelovane odlisnosti'!J18</f>
        <v>0</v>
      </c>
      <c r="K18" s="71">
        <f>'Vypocty NAFTA'!K22+'Modelovane odlisnosti'!K18</f>
        <v>0</v>
      </c>
      <c r="L18" s="71">
        <f>'Vypocty NAFTA'!L22+'Modelovane odlisnosti'!L18</f>
        <v>0</v>
      </c>
      <c r="M18" s="71">
        <f>'Vypocty NAFTA'!M22+'Modelovane odlisnosti'!M18</f>
        <v>0</v>
      </c>
      <c r="N18" s="71">
        <f>'Vypocty NAFTA'!N22+'Modelovane odlisnosti'!N18</f>
        <v>0</v>
      </c>
      <c r="O18" s="50"/>
    </row>
    <row r="19" spans="2:15" s="10" customFormat="1" ht="12.75">
      <c r="B19" s="56">
        <v>20</v>
      </c>
      <c r="C19" s="47" t="s">
        <v>15</v>
      </c>
      <c r="D19" s="48"/>
      <c r="E19" s="71">
        <f>'Vypocty NAFTA'!E23+'Modelovane odlisnosti'!E19</f>
        <v>0</v>
      </c>
      <c r="F19" s="71">
        <f>'Vypocty NAFTA'!F23+'Modelovane odlisnosti'!F19</f>
        <v>0</v>
      </c>
      <c r="G19" s="71">
        <f>'Vypocty NAFTA'!G23+'Modelovane odlisnosti'!G19</f>
        <v>0</v>
      </c>
      <c r="H19" s="71">
        <f>'Vypocty NAFTA'!H23+'Modelovane odlisnosti'!H19</f>
        <v>0</v>
      </c>
      <c r="I19" s="71">
        <f>'Vypocty NAFTA'!I23+'Modelovane odlisnosti'!I19</f>
        <v>0</v>
      </c>
      <c r="J19" s="71">
        <f>'Vypocty NAFTA'!J23+'Modelovane odlisnosti'!J19</f>
        <v>0</v>
      </c>
      <c r="K19" s="71">
        <f>'Vypocty NAFTA'!K23+'Modelovane odlisnosti'!K19</f>
        <v>0</v>
      </c>
      <c r="L19" s="71">
        <f>'Vypocty NAFTA'!L23+'Modelovane odlisnosti'!L19</f>
        <v>0</v>
      </c>
      <c r="M19" s="71">
        <f>'Vypocty NAFTA'!M23+'Modelovane odlisnosti'!M19</f>
        <v>0</v>
      </c>
      <c r="N19" s="71">
        <f>'Vypocty NAFTA'!N23+'Modelovane odlisnosti'!N19</f>
        <v>0</v>
      </c>
      <c r="O19" s="50"/>
    </row>
    <row r="20" spans="2:15" s="10" customFormat="1" ht="12.75">
      <c r="B20" s="56">
        <v>21</v>
      </c>
      <c r="C20" s="47" t="s">
        <v>16</v>
      </c>
      <c r="D20" s="48"/>
      <c r="E20" s="71">
        <f>'Vypocty NAFTA'!E24+'Modelovane odlisnosti'!E20</f>
        <v>0.03196</v>
      </c>
      <c r="F20" s="71">
        <f>'Vypocty NAFTA'!F24+'Modelovane odlisnosti'!F20</f>
        <v>0</v>
      </c>
      <c r="G20" s="71">
        <f>'Vypocty NAFTA'!G24+'Modelovane odlisnosti'!G20</f>
        <v>0</v>
      </c>
      <c r="H20" s="71">
        <f>'Vypocty NAFTA'!H24+'Modelovane odlisnosti'!H20</f>
        <v>0</v>
      </c>
      <c r="I20" s="71">
        <f>'Vypocty NAFTA'!I24+'Modelovane odlisnosti'!I20</f>
        <v>0</v>
      </c>
      <c r="J20" s="71">
        <f>'Vypocty NAFTA'!J24+'Modelovane odlisnosti'!J20</f>
        <v>0</v>
      </c>
      <c r="K20" s="71">
        <f>'Vypocty NAFTA'!K24+'Modelovane odlisnosti'!K20</f>
        <v>0</v>
      </c>
      <c r="L20" s="71">
        <f>'Vypocty NAFTA'!L24+'Modelovane odlisnosti'!L20</f>
        <v>0</v>
      </c>
      <c r="M20" s="71">
        <f>'Vypocty NAFTA'!M24+'Modelovane odlisnosti'!M20</f>
        <v>0</v>
      </c>
      <c r="N20" s="71">
        <f>'Vypocty NAFTA'!N24+'Modelovane odlisnosti'!N20</f>
        <v>0</v>
      </c>
      <c r="O20" s="50"/>
    </row>
    <row r="21" spans="2:15" s="10" customFormat="1" ht="12.75">
      <c r="B21" s="56">
        <v>22</v>
      </c>
      <c r="C21" s="47" t="s">
        <v>17</v>
      </c>
      <c r="D21" s="48"/>
      <c r="E21" s="71">
        <f>'Vypocty NAFTA'!E25+'Modelovane odlisnosti'!E21</f>
        <v>0</v>
      </c>
      <c r="F21" s="71">
        <f>'Vypocty NAFTA'!F25+'Modelovane odlisnosti'!F21</f>
        <v>0</v>
      </c>
      <c r="G21" s="71">
        <f>'Vypocty NAFTA'!G25+'Modelovane odlisnosti'!G21</f>
        <v>0</v>
      </c>
      <c r="H21" s="71">
        <f>'Vypocty NAFTA'!H25+'Modelovane odlisnosti'!H21</f>
        <v>0</v>
      </c>
      <c r="I21" s="71">
        <f>'Vypocty NAFTA'!I25+'Modelovane odlisnosti'!I21</f>
        <v>0</v>
      </c>
      <c r="J21" s="71">
        <f>'Vypocty NAFTA'!J25+'Modelovane odlisnosti'!J21</f>
        <v>0</v>
      </c>
      <c r="K21" s="71">
        <f>'Vypocty NAFTA'!K25+'Modelovane odlisnosti'!K21</f>
        <v>0</v>
      </c>
      <c r="L21" s="71">
        <f>'Vypocty NAFTA'!L25+'Modelovane odlisnosti'!L21</f>
        <v>0</v>
      </c>
      <c r="M21" s="71">
        <f>'Vypocty NAFTA'!M25+'Modelovane odlisnosti'!M21</f>
        <v>0</v>
      </c>
      <c r="N21" s="71">
        <f>'Vypocty NAFTA'!N25+'Modelovane odlisnosti'!N21</f>
        <v>0</v>
      </c>
      <c r="O21" s="50"/>
    </row>
    <row r="22" spans="2:15" s="10" customFormat="1" ht="12.75">
      <c r="B22" s="56">
        <v>23</v>
      </c>
      <c r="C22" s="47" t="s">
        <v>18</v>
      </c>
      <c r="D22" s="48"/>
      <c r="E22" s="71">
        <f>'Vypocty NAFTA'!E26+'Modelovane odlisnosti'!E22</f>
        <v>0</v>
      </c>
      <c r="F22" s="71">
        <f>'Vypocty NAFTA'!F26+'Modelovane odlisnosti'!F22</f>
        <v>0</v>
      </c>
      <c r="G22" s="71">
        <f>'Vypocty NAFTA'!G26+'Modelovane odlisnosti'!G22</f>
        <v>0</v>
      </c>
      <c r="H22" s="71">
        <f>'Vypocty NAFTA'!H26+'Modelovane odlisnosti'!H22</f>
        <v>0</v>
      </c>
      <c r="I22" s="71">
        <f>'Vypocty NAFTA'!I26+'Modelovane odlisnosti'!I22</f>
        <v>0</v>
      </c>
      <c r="J22" s="71">
        <f>'Vypocty NAFTA'!J26+'Modelovane odlisnosti'!J22</f>
        <v>0</v>
      </c>
      <c r="K22" s="71">
        <f>'Vypocty NAFTA'!K26+'Modelovane odlisnosti'!K22</f>
        <v>0</v>
      </c>
      <c r="L22" s="71">
        <f>'Vypocty NAFTA'!L26+'Modelovane odlisnosti'!L22</f>
        <v>0</v>
      </c>
      <c r="M22" s="71">
        <f>'Vypocty NAFTA'!M26+'Modelovane odlisnosti'!M22</f>
        <v>0</v>
      </c>
      <c r="N22" s="71">
        <f>'Vypocty NAFTA'!N26+'Modelovane odlisnosti'!N22</f>
        <v>0</v>
      </c>
      <c r="O22" s="50"/>
    </row>
    <row r="23" spans="2:15" s="10" customFormat="1" ht="12.75">
      <c r="B23" s="56">
        <v>24</v>
      </c>
      <c r="C23" s="47" t="s">
        <v>19</v>
      </c>
      <c r="D23" s="48"/>
      <c r="E23" s="71">
        <f>'Vypocty NAFTA'!E27+'Modelovane odlisnosti'!E23</f>
        <v>0</v>
      </c>
      <c r="F23" s="71">
        <f>'Vypocty NAFTA'!F27+'Modelovane odlisnosti'!F23</f>
        <v>0</v>
      </c>
      <c r="G23" s="71">
        <f>'Vypocty NAFTA'!G27+'Modelovane odlisnosti'!G23</f>
        <v>0</v>
      </c>
      <c r="H23" s="71">
        <f>'Vypocty NAFTA'!H27+'Modelovane odlisnosti'!H23</f>
        <v>0</v>
      </c>
      <c r="I23" s="71">
        <f>'Vypocty NAFTA'!I27+'Modelovane odlisnosti'!I23</f>
        <v>0</v>
      </c>
      <c r="J23" s="71">
        <f>'Vypocty NAFTA'!J27+'Modelovane odlisnosti'!J23</f>
        <v>0</v>
      </c>
      <c r="K23" s="71">
        <f>'Vypocty NAFTA'!K27+'Modelovane odlisnosti'!K23</f>
        <v>0</v>
      </c>
      <c r="L23" s="71">
        <f>'Vypocty NAFTA'!L27+'Modelovane odlisnosti'!L23</f>
        <v>0</v>
      </c>
      <c r="M23" s="71">
        <f>'Vypocty NAFTA'!M27+'Modelovane odlisnosti'!M23</f>
        <v>0</v>
      </c>
      <c r="N23" s="71">
        <f>'Vypocty NAFTA'!N27+'Modelovane odlisnosti'!N23</f>
        <v>0</v>
      </c>
      <c r="O23" s="50"/>
    </row>
    <row r="24" spans="2:15" s="10" customFormat="1" ht="12.75">
      <c r="B24" s="56">
        <v>25</v>
      </c>
      <c r="C24" s="47" t="s">
        <v>20</v>
      </c>
      <c r="D24" s="48"/>
      <c r="E24" s="71">
        <f>'Vypocty NAFTA'!E28+'Modelovane odlisnosti'!E24</f>
        <v>0</v>
      </c>
      <c r="F24" s="71">
        <f>'Vypocty NAFTA'!F28+'Modelovane odlisnosti'!F24</f>
        <v>0</v>
      </c>
      <c r="G24" s="71">
        <f>'Vypocty NAFTA'!G28+'Modelovane odlisnosti'!G24</f>
        <v>0</v>
      </c>
      <c r="H24" s="71">
        <f>'Vypocty NAFTA'!H28+'Modelovane odlisnosti'!H24</f>
        <v>0</v>
      </c>
      <c r="I24" s="71">
        <f>'Vypocty NAFTA'!I28+'Modelovane odlisnosti'!I24</f>
        <v>0</v>
      </c>
      <c r="J24" s="71">
        <f>'Vypocty NAFTA'!J28+'Modelovane odlisnosti'!J24</f>
        <v>0</v>
      </c>
      <c r="K24" s="71">
        <f>'Vypocty NAFTA'!K28+'Modelovane odlisnosti'!K24</f>
        <v>0</v>
      </c>
      <c r="L24" s="71">
        <f>'Vypocty NAFTA'!L28+'Modelovane odlisnosti'!L24</f>
        <v>0</v>
      </c>
      <c r="M24" s="71">
        <f>'Vypocty NAFTA'!M28+'Modelovane odlisnosti'!M24</f>
        <v>0</v>
      </c>
      <c r="N24" s="71">
        <f>'Vypocty NAFTA'!N28+'Modelovane odlisnosti'!N24</f>
        <v>0</v>
      </c>
      <c r="O24" s="50"/>
    </row>
    <row r="25" spans="2:15" s="10" customFormat="1" ht="12.75">
      <c r="B25" s="67"/>
      <c r="C25" s="47" t="s">
        <v>84</v>
      </c>
      <c r="D25" s="48"/>
      <c r="E25" s="71">
        <f>'Vypocty NAFTA'!E30+'Modelovane odlisnosti'!E25</f>
        <v>0</v>
      </c>
      <c r="F25" s="71">
        <f>'Vypocty NAFTA'!F30+'Modelovane odlisnosti'!F25</f>
        <v>0</v>
      </c>
      <c r="G25" s="71">
        <f>'Vypocty NAFTA'!G30+'Modelovane odlisnosti'!G25</f>
        <v>0</v>
      </c>
      <c r="H25" s="71">
        <f>'Vypocty NAFTA'!H30+'Modelovane odlisnosti'!H25</f>
        <v>0</v>
      </c>
      <c r="I25" s="71">
        <f>'Vypocty NAFTA'!I30+'Modelovane odlisnosti'!I25</f>
        <v>0</v>
      </c>
      <c r="J25" s="71">
        <f>'Vypocty NAFTA'!J30+'Modelovane odlisnosti'!J25</f>
        <v>0</v>
      </c>
      <c r="K25" s="71">
        <f>'Vypocty NAFTA'!K30+'Modelovane odlisnosti'!K25</f>
        <v>0</v>
      </c>
      <c r="L25" s="71">
        <f>'Vypocty NAFTA'!L30+'Modelovane odlisnosti'!L25</f>
        <v>0</v>
      </c>
      <c r="M25" s="71">
        <f>'Vypocty NAFTA'!M30+'Modelovane odlisnosti'!M25</f>
        <v>0</v>
      </c>
      <c r="N25" s="71">
        <f>'Vypocty NAFTA'!N30+'Modelovane odlisnosti'!N25</f>
        <v>0</v>
      </c>
      <c r="O25" s="50"/>
    </row>
    <row r="26" spans="2:15" s="10" customFormat="1" ht="12.75">
      <c r="B26" s="68"/>
      <c r="C26" s="47" t="s">
        <v>94</v>
      </c>
      <c r="D26" s="48"/>
      <c r="E26" s="59" t="e">
        <f>E27-SUM(E5:E25)</f>
        <v>#REF!</v>
      </c>
      <c r="F26" s="59" t="e">
        <f aca="true" t="shared" si="1" ref="F26:N26">F27-SUM(F5:F25)</f>
        <v>#REF!</v>
      </c>
      <c r="G26" s="59" t="e">
        <f t="shared" si="1"/>
        <v>#REF!</v>
      </c>
      <c r="H26" s="59" t="e">
        <f t="shared" si="1"/>
        <v>#REF!</v>
      </c>
      <c r="I26" s="59" t="e">
        <f t="shared" si="1"/>
        <v>#REF!</v>
      </c>
      <c r="J26" s="59" t="e">
        <f t="shared" si="1"/>
        <v>#REF!</v>
      </c>
      <c r="K26" s="59" t="e">
        <f t="shared" si="1"/>
        <v>#REF!</v>
      </c>
      <c r="L26" s="59" t="e">
        <f t="shared" si="1"/>
        <v>#REF!</v>
      </c>
      <c r="M26" s="59" t="e">
        <f t="shared" si="1"/>
        <v>#REF!</v>
      </c>
      <c r="N26" s="59" t="e">
        <f t="shared" si="1"/>
        <v>#REF!</v>
      </c>
      <c r="O26" s="50"/>
    </row>
    <row r="27" spans="2:15" s="11" customFormat="1" ht="12.75">
      <c r="B27" s="69"/>
      <c r="C27" s="63" t="s">
        <v>93</v>
      </c>
      <c r="D27" s="64"/>
      <c r="E27" s="65" t="e">
        <f>E28*#REF!</f>
        <v>#REF!</v>
      </c>
      <c r="F27" s="65" t="e">
        <f>F28*#REF!</f>
        <v>#REF!</v>
      </c>
      <c r="G27" s="65" t="e">
        <f>G28*#REF!</f>
        <v>#REF!</v>
      </c>
      <c r="H27" s="65" t="e">
        <f>H28*IF($G$46&gt;0,ROUND(#REF!,2),#REF!)</f>
        <v>#REF!</v>
      </c>
      <c r="I27" s="65" t="e">
        <f>I28*IF($G$46&gt;0,ROUND(#REF!,2),#REF!)</f>
        <v>#REF!</v>
      </c>
      <c r="J27" s="65" t="e">
        <f>J28*IF($G$46&gt;0,ROUND(#REF!,2),#REF!)</f>
        <v>#REF!</v>
      </c>
      <c r="K27" s="65" t="e">
        <f>K28*IF($J$46&gt;0,ROUND(#REF!,2),#REF!)</f>
        <v>#REF!</v>
      </c>
      <c r="L27" s="65" t="e">
        <f>L28*IF($G$46&gt;0,ROUND(#REF!,2),#REF!)</f>
        <v>#REF!</v>
      </c>
      <c r="M27" s="65" t="e">
        <f>M28*IF($G$46&gt;0,ROUND(#REF!,2),#REF!)</f>
        <v>#REF!</v>
      </c>
      <c r="N27" s="65" t="e">
        <f>N28*IF($M$46&gt;0,ROUND(#REF!,2),#REF!)</f>
        <v>#REF!</v>
      </c>
      <c r="O27" s="66"/>
    </row>
    <row r="28" spans="2:15" s="10" customFormat="1" ht="12.75">
      <c r="B28" s="68"/>
      <c r="C28" s="47" t="s">
        <v>92</v>
      </c>
      <c r="D28" s="48"/>
      <c r="E28" s="71" t="e">
        <f>#REF!</f>
        <v>#REF!</v>
      </c>
      <c r="F28" s="71" t="e">
        <f>#REF!</f>
        <v>#REF!</v>
      </c>
      <c r="G28" s="71" t="e">
        <f>#REF!</f>
        <v>#REF!</v>
      </c>
      <c r="H28" s="71" t="e">
        <f>#REF!</f>
        <v>#REF!</v>
      </c>
      <c r="I28" s="71" t="e">
        <f>#REF!</f>
        <v>#REF!</v>
      </c>
      <c r="J28" s="71" t="e">
        <f>#REF!</f>
        <v>#REF!</v>
      </c>
      <c r="K28" s="71" t="e">
        <f>#REF!</f>
        <v>#REF!</v>
      </c>
      <c r="L28" s="71" t="e">
        <f>#REF!</f>
        <v>#REF!</v>
      </c>
      <c r="M28" s="71" t="e">
        <f>#REF!</f>
        <v>#REF!</v>
      </c>
      <c r="N28" s="71" t="e">
        <f>#REF!</f>
        <v>#REF!</v>
      </c>
      <c r="O28" s="50"/>
    </row>
    <row r="29" spans="2:15" s="10" customFormat="1" ht="12.75" hidden="1">
      <c r="B29" s="68"/>
      <c r="C29" s="47" t="s">
        <v>66</v>
      </c>
      <c r="D29" s="48"/>
      <c r="E29" s="59"/>
      <c r="F29" s="59"/>
      <c r="G29" s="59"/>
      <c r="H29" s="59"/>
      <c r="I29" s="59"/>
      <c r="J29" s="59"/>
      <c r="K29" s="59"/>
      <c r="L29" s="59"/>
      <c r="M29" s="59"/>
      <c r="N29" s="59"/>
      <c r="O29" s="50"/>
    </row>
    <row r="30" spans="2:15" s="10" customFormat="1" ht="12.75" hidden="1">
      <c r="B30" s="68"/>
      <c r="C30" s="47" t="s">
        <v>66</v>
      </c>
      <c r="D30" s="48"/>
      <c r="E30" s="59"/>
      <c r="F30" s="59"/>
      <c r="G30" s="59"/>
      <c r="H30" s="59"/>
      <c r="I30" s="59"/>
      <c r="J30" s="59"/>
      <c r="K30" s="59"/>
      <c r="L30" s="59"/>
      <c r="M30" s="59"/>
      <c r="N30" s="59"/>
      <c r="O30" s="50"/>
    </row>
    <row r="31" spans="2:15" s="10" customFormat="1" ht="12.75" customHeight="1">
      <c r="B31" s="70"/>
      <c r="C31" s="60" t="s">
        <v>73</v>
      </c>
      <c r="D31" s="61"/>
      <c r="E31" s="62" t="e">
        <f>IF(E28=0,0,E27/E28)</f>
        <v>#REF!</v>
      </c>
      <c r="F31" s="62" t="e">
        <f aca="true" t="shared" si="2" ref="F31:N31">IF(F28=0,0,F27/F28)</f>
        <v>#REF!</v>
      </c>
      <c r="G31" s="62" t="e">
        <f t="shared" si="2"/>
        <v>#REF!</v>
      </c>
      <c r="H31" s="62" t="e">
        <f t="shared" si="2"/>
        <v>#REF!</v>
      </c>
      <c r="I31" s="62" t="e">
        <f t="shared" si="2"/>
        <v>#REF!</v>
      </c>
      <c r="J31" s="62" t="e">
        <f t="shared" si="2"/>
        <v>#REF!</v>
      </c>
      <c r="K31" s="62" t="e">
        <f t="shared" si="2"/>
        <v>#REF!</v>
      </c>
      <c r="L31" s="62" t="e">
        <f t="shared" si="2"/>
        <v>#REF!</v>
      </c>
      <c r="M31" s="62" t="e">
        <f t="shared" si="2"/>
        <v>#REF!</v>
      </c>
      <c r="N31" s="62" t="e">
        <f t="shared" si="2"/>
        <v>#REF!</v>
      </c>
      <c r="O31" s="50"/>
    </row>
    <row r="32" s="10" customFormat="1" ht="12.75" customHeight="1">
      <c r="O32" s="50"/>
    </row>
    <row r="33" spans="2:15" s="10" customFormat="1" ht="12.75" customHeight="1">
      <c r="B33" s="11" t="str">
        <f>"Ve stálých cenách r. "&amp;VR&amp;" (Kč, stále ceny)"</f>
        <v>Ve stálých cenách r. 1 (Kč, stále ceny)</v>
      </c>
      <c r="O33" s="50"/>
    </row>
    <row r="34" spans="2:15" s="10" customFormat="1" ht="12.75" customHeight="1">
      <c r="B34" s="26"/>
      <c r="C34" s="47" t="s">
        <v>84</v>
      </c>
      <c r="D34" s="48"/>
      <c r="E34" s="77">
        <f>IF('Vypocty indexu'!E$5=0,0,E25/'Vypocty indexu'!E$5)</f>
        <v>0</v>
      </c>
      <c r="F34" s="77">
        <f>IF('Vypocty indexu'!F$5=0,0,F25/'Vypocty indexu'!F$5)</f>
        <v>0</v>
      </c>
      <c r="G34" s="77">
        <f>IF('Vypocty indexu'!G$5=0,0,G25/'Vypocty indexu'!G$5)</f>
        <v>0</v>
      </c>
      <c r="H34" s="77">
        <f>IF('Vypocty indexu'!H$5=0,0,H25/'Vypocty indexu'!H$5)</f>
        <v>0</v>
      </c>
      <c r="I34" s="77">
        <f>IF('Vypocty indexu'!I$5=0,0,I25/'Vypocty indexu'!I$5)</f>
        <v>0</v>
      </c>
      <c r="J34" s="77">
        <f>IF('Vypocty indexu'!J$5=0,0,J25/'Vypocty indexu'!J$5)</f>
        <v>0</v>
      </c>
      <c r="K34" s="77">
        <f>IF('Vypocty indexu'!K$5=0,0,K25/'Vypocty indexu'!K$5)</f>
        <v>0</v>
      </c>
      <c r="L34" s="77">
        <f>IF('Vypocty indexu'!L$5=0,0,L25/'Vypocty indexu'!L$5)</f>
        <v>0</v>
      </c>
      <c r="M34" s="77">
        <f>IF('Vypocty indexu'!M$5=0,0,M25/'Vypocty indexu'!M$5)</f>
        <v>0</v>
      </c>
      <c r="N34" s="77">
        <f>IF('Vypocty indexu'!N$5=0,0,N25/'Vypocty indexu'!N$5)</f>
        <v>0</v>
      </c>
      <c r="O34" s="50"/>
    </row>
    <row r="35" spans="2:15" s="10" customFormat="1" ht="12.75" customHeight="1">
      <c r="B35" s="18"/>
      <c r="C35" s="47" t="s">
        <v>44</v>
      </c>
      <c r="D35" s="48"/>
      <c r="E35" s="77" t="e">
        <f>IF('Vypocty indexu'!E$5=0,0,E26/'Vypocty indexu'!E$5)</f>
        <v>#REF!</v>
      </c>
      <c r="F35" s="77">
        <f>IF('Vypocty indexu'!F$5=0,0,F26/'Vypocty indexu'!F$5)</f>
        <v>0</v>
      </c>
      <c r="G35" s="77">
        <f>IF('Vypocty indexu'!G$5=0,0,G26/'Vypocty indexu'!G$5)</f>
        <v>0</v>
      </c>
      <c r="H35" s="77">
        <f>IF('Vypocty indexu'!H$5=0,0,H26/'Vypocty indexu'!H$5)</f>
        <v>0</v>
      </c>
      <c r="I35" s="77">
        <f>IF('Vypocty indexu'!I$5=0,0,I26/'Vypocty indexu'!I$5)</f>
        <v>0</v>
      </c>
      <c r="J35" s="77">
        <f>IF('Vypocty indexu'!J$5=0,0,J26/'Vypocty indexu'!J$5)</f>
        <v>0</v>
      </c>
      <c r="K35" s="77">
        <f>IF('Vypocty indexu'!K$5=0,0,K26/'Vypocty indexu'!K$5)</f>
        <v>0</v>
      </c>
      <c r="L35" s="77">
        <f>IF('Vypocty indexu'!L$5=0,0,L26/'Vypocty indexu'!L$5)</f>
        <v>0</v>
      </c>
      <c r="M35" s="77">
        <f>IF('Vypocty indexu'!M$5=0,0,M26/'Vypocty indexu'!M$5)</f>
        <v>0</v>
      </c>
      <c r="N35" s="77">
        <f>IF('Vypocty indexu'!N$5=0,0,N26/'Vypocty indexu'!N$5)</f>
        <v>0</v>
      </c>
      <c r="O35" s="50"/>
    </row>
    <row r="36" s="10" customFormat="1" ht="12.75" customHeight="1">
      <c r="O36" s="50"/>
    </row>
    <row r="37" spans="2:15" s="10" customFormat="1" ht="12.75" customHeight="1">
      <c r="B37" s="11" t="str">
        <f>"Jednotkové hodnoty ve stálých cenách r. "&amp;VR&amp;" (Kč/km, stále ceny)"</f>
        <v>Jednotkové hodnoty ve stálých cenách r. 1 (Kč/km, stále ceny)</v>
      </c>
      <c r="O37" s="50"/>
    </row>
    <row r="38" spans="2:15" s="10" customFormat="1" ht="12.75" customHeight="1">
      <c r="B38" s="26"/>
      <c r="C38" s="47" t="s">
        <v>84</v>
      </c>
      <c r="D38" s="48"/>
      <c r="E38" s="52" t="e">
        <f>IF(E$28=0,0,E34/E$28)</f>
        <v>#REF!</v>
      </c>
      <c r="F38" s="52" t="e">
        <f aca="true" t="shared" si="3" ref="F38:N38">IF(F$28=0,0,F34/F$28)</f>
        <v>#REF!</v>
      </c>
      <c r="G38" s="52" t="e">
        <f t="shared" si="3"/>
        <v>#REF!</v>
      </c>
      <c r="H38" s="52" t="e">
        <f t="shared" si="3"/>
        <v>#REF!</v>
      </c>
      <c r="I38" s="52" t="e">
        <f t="shared" si="3"/>
        <v>#REF!</v>
      </c>
      <c r="J38" s="52" t="e">
        <f t="shared" si="3"/>
        <v>#REF!</v>
      </c>
      <c r="K38" s="52" t="e">
        <f t="shared" si="3"/>
        <v>#REF!</v>
      </c>
      <c r="L38" s="52" t="e">
        <f t="shared" si="3"/>
        <v>#REF!</v>
      </c>
      <c r="M38" s="52" t="e">
        <f t="shared" si="3"/>
        <v>#REF!</v>
      </c>
      <c r="N38" s="52" t="e">
        <f t="shared" si="3"/>
        <v>#REF!</v>
      </c>
      <c r="O38" s="50"/>
    </row>
    <row r="39" spans="2:15" s="10" customFormat="1" ht="12.75" customHeight="1">
      <c r="B39" s="18"/>
      <c r="C39" s="47" t="s">
        <v>44</v>
      </c>
      <c r="D39" s="48"/>
      <c r="E39" s="52" t="e">
        <f>IF(E$28=0,0,E35/E$28)</f>
        <v>#REF!</v>
      </c>
      <c r="F39" s="52" t="e">
        <f aca="true" t="shared" si="4" ref="F39:N39">IF(F$28=0,0,F35/F$28)</f>
        <v>#REF!</v>
      </c>
      <c r="G39" s="52" t="e">
        <f t="shared" si="4"/>
        <v>#REF!</v>
      </c>
      <c r="H39" s="52" t="e">
        <f t="shared" si="4"/>
        <v>#REF!</v>
      </c>
      <c r="I39" s="52" t="e">
        <f t="shared" si="4"/>
        <v>#REF!</v>
      </c>
      <c r="J39" s="52" t="e">
        <f t="shared" si="4"/>
        <v>#REF!</v>
      </c>
      <c r="K39" s="52" t="e">
        <f t="shared" si="4"/>
        <v>#REF!</v>
      </c>
      <c r="L39" s="52" t="e">
        <f t="shared" si="4"/>
        <v>#REF!</v>
      </c>
      <c r="M39" s="52" t="e">
        <f t="shared" si="4"/>
        <v>#REF!</v>
      </c>
      <c r="N39" s="52" t="e">
        <f t="shared" si="4"/>
        <v>#REF!</v>
      </c>
      <c r="O39" s="50"/>
    </row>
    <row r="40" s="10" customFormat="1" ht="12.75">
      <c r="O40" s="50"/>
    </row>
    <row r="41" spans="2:15" s="10" customFormat="1" ht="12.75">
      <c r="B41" s="11" t="s">
        <v>78</v>
      </c>
      <c r="G41" s="11" t="s">
        <v>74</v>
      </c>
      <c r="J41" s="11" t="s">
        <v>75</v>
      </c>
      <c r="M41" s="11" t="s">
        <v>76</v>
      </c>
      <c r="O41" s="50"/>
    </row>
    <row r="42" spans="6:15" s="10" customFormat="1" ht="12.75">
      <c r="F42" s="78" t="s">
        <v>43</v>
      </c>
      <c r="G42" s="91" t="e">
        <f>AVERAGE(E38:G38)</f>
        <v>#REF!</v>
      </c>
      <c r="I42" s="78" t="s">
        <v>43</v>
      </c>
      <c r="J42" s="94" t="e">
        <f>AVERAGE(H38:J38)</f>
        <v>#REF!</v>
      </c>
      <c r="L42" s="78" t="s">
        <v>43</v>
      </c>
      <c r="M42" s="96" t="e">
        <f>AVERAGE(K38:M38)</f>
        <v>#REF!</v>
      </c>
      <c r="O42" s="50"/>
    </row>
    <row r="43" spans="6:15" s="10" customFormat="1" ht="12.75">
      <c r="F43" s="78" t="s">
        <v>94</v>
      </c>
      <c r="G43" s="91" t="e">
        <f>AVERAGE(E39:G39)</f>
        <v>#REF!</v>
      </c>
      <c r="I43" s="78" t="s">
        <v>94</v>
      </c>
      <c r="J43" s="94" t="e">
        <f>AVERAGE(H39:J39)</f>
        <v>#REF!</v>
      </c>
      <c r="L43" s="78" t="s">
        <v>94</v>
      </c>
      <c r="M43" s="96" t="e">
        <f>AVERAGE(K39:M39)</f>
        <v>#REF!</v>
      </c>
      <c r="O43" s="50"/>
    </row>
    <row r="44" spans="2:15" s="10" customFormat="1" ht="12.75">
      <c r="B44" s="11" t="s">
        <v>79</v>
      </c>
      <c r="F44" s="79" t="s">
        <v>80</v>
      </c>
      <c r="G44" s="91" t="e">
        <f>G43-ZvN</f>
        <v>#REF!</v>
      </c>
      <c r="I44" s="79" t="s">
        <v>80</v>
      </c>
      <c r="J44" s="94" t="e">
        <f>J43-ZvN</f>
        <v>#REF!</v>
      </c>
      <c r="L44" s="79" t="s">
        <v>80</v>
      </c>
      <c r="M44" s="96" t="e">
        <f>M43-ZvN</f>
        <v>#REF!</v>
      </c>
      <c r="O44" s="50"/>
    </row>
    <row r="45" spans="7:15" s="10" customFormat="1" ht="12.75">
      <c r="G45" s="93"/>
      <c r="O45" s="50"/>
    </row>
    <row r="46" spans="2:15" s="10" customFormat="1" ht="12.75">
      <c r="B46" s="11" t="s">
        <v>87</v>
      </c>
      <c r="F46" s="79" t="s">
        <v>82</v>
      </c>
      <c r="G46" s="91" t="e">
        <f>IF(G44&gt;0,G44*PVUD,0)</f>
        <v>#REF!</v>
      </c>
      <c r="I46" s="79" t="s">
        <v>82</v>
      </c>
      <c r="J46" s="94" t="e">
        <f>IF(J44&gt;0,J44*PVUD,0)</f>
        <v>#REF!</v>
      </c>
      <c r="L46" s="79" t="s">
        <v>82</v>
      </c>
      <c r="M46" s="96" t="e">
        <f>IF(M44&gt;0,M44*PVUD,0)*3</f>
        <v>#REF!</v>
      </c>
      <c r="O46" s="50"/>
    </row>
    <row r="47" spans="7:15" s="10" customFormat="1" ht="12.75">
      <c r="G47" s="93"/>
      <c r="O47" s="50"/>
    </row>
    <row r="48" spans="2:15" s="10" customFormat="1" ht="12.75">
      <c r="B48" s="10" t="s">
        <v>85</v>
      </c>
      <c r="G48" s="92" t="e">
        <f>IF(G43&gt;=0,"Ne","Ano")</f>
        <v>#REF!</v>
      </c>
      <c r="J48" s="95" t="e">
        <f>IF(J43&gt;=0,"Ne","Ano")</f>
        <v>#REF!</v>
      </c>
      <c r="M48" s="97" t="e">
        <f>IF(M43&gt;=0,"Ne","Ano")</f>
        <v>#REF!</v>
      </c>
      <c r="O48" s="50"/>
    </row>
    <row r="49" spans="7:15" s="10" customFormat="1" ht="12.75">
      <c r="G49" s="93"/>
      <c r="O49" s="50"/>
    </row>
    <row r="50" spans="2:15" s="10" customFormat="1" ht="12.75">
      <c r="B50" s="11" t="s">
        <v>88</v>
      </c>
      <c r="F50" s="79" t="s">
        <v>86</v>
      </c>
      <c r="G50" s="87"/>
      <c r="I50" s="79" t="s">
        <v>86</v>
      </c>
      <c r="J50" s="87">
        <v>1</v>
      </c>
      <c r="L50" s="79" t="s">
        <v>86</v>
      </c>
      <c r="M50" s="87"/>
      <c r="O50" s="50"/>
    </row>
    <row r="51" spans="2:15" s="10" customFormat="1" ht="12.75">
      <c r="B51" s="11"/>
      <c r="F51" s="79"/>
      <c r="G51" s="105"/>
      <c r="I51" s="79"/>
      <c r="J51" s="105"/>
      <c r="L51" s="79"/>
      <c r="M51" s="105"/>
      <c r="O51" s="50"/>
    </row>
    <row r="52" spans="2:15" s="10" customFormat="1" ht="12.75">
      <c r="B52" s="11"/>
      <c r="F52" s="79"/>
      <c r="G52" s="105"/>
      <c r="I52" s="79"/>
      <c r="J52" s="105"/>
      <c r="L52" s="79"/>
      <c r="M52" s="105"/>
      <c r="O52" s="50"/>
    </row>
    <row r="53" spans="1:15" ht="12.75">
      <c r="A53" s="10"/>
      <c r="B53" s="10" t="s">
        <v>81</v>
      </c>
      <c r="C53" s="10"/>
      <c r="D53" s="10"/>
      <c r="E53" s="10"/>
      <c r="F53" s="10"/>
      <c r="G53" s="103">
        <v>0.5</v>
      </c>
      <c r="H53" s="9"/>
      <c r="I53" s="10"/>
      <c r="J53" s="10"/>
      <c r="K53" s="10"/>
      <c r="L53" s="10"/>
      <c r="M53" s="10"/>
      <c r="N53" s="10"/>
      <c r="O53" s="10"/>
    </row>
    <row r="54" spans="1:15" ht="12.75">
      <c r="A54" s="10"/>
      <c r="B54" s="10"/>
      <c r="C54" s="10"/>
      <c r="D54" s="10"/>
      <c r="E54" s="10"/>
      <c r="F54" s="10"/>
      <c r="G54" s="10"/>
      <c r="H54" s="10"/>
      <c r="I54" s="10"/>
      <c r="J54" s="10"/>
      <c r="K54" s="10"/>
      <c r="L54" s="10"/>
      <c r="M54" s="10"/>
      <c r="N54" s="10"/>
      <c r="O54" s="10"/>
    </row>
    <row r="55" s="10" customFormat="1" ht="12.75" hidden="1">
      <c r="O55" s="50"/>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spans="2:15" s="89" customFormat="1" ht="12.75" hidden="1">
      <c r="B68" s="9"/>
      <c r="C68" s="9"/>
      <c r="D68" s="9"/>
      <c r="E68" s="9"/>
      <c r="F68" s="9"/>
      <c r="G68" s="9"/>
      <c r="H68" s="9"/>
      <c r="I68" s="9"/>
      <c r="J68" s="9"/>
      <c r="K68" s="9"/>
      <c r="L68" s="9"/>
      <c r="M68" s="9"/>
      <c r="N68" s="9"/>
      <c r="O68" s="90"/>
    </row>
    <row r="69" ht="12.75" hidden="1"/>
    <row r="70" ht="12.75" hidden="1"/>
    <row r="71" ht="12.75" hidden="1"/>
    <row r="72" ht="12.75" hidden="1"/>
    <row r="73" ht="12.75" customHeight="1" hidden="1"/>
    <row r="74" ht="12.75" customHeight="1" hidden="1"/>
    <row r="75" ht="12.75" customHeight="1" hidden="1"/>
    <row r="76" spans="2:15" s="89" customFormat="1" ht="12.75" hidden="1">
      <c r="B76" s="9"/>
      <c r="C76" s="9"/>
      <c r="D76" s="9"/>
      <c r="E76" s="9"/>
      <c r="F76" s="9"/>
      <c r="G76" s="9"/>
      <c r="H76" s="9"/>
      <c r="I76" s="9"/>
      <c r="J76" s="9"/>
      <c r="K76" s="9"/>
      <c r="L76" s="9"/>
      <c r="M76" s="9"/>
      <c r="N76" s="9"/>
      <c r="O76" s="90"/>
    </row>
    <row r="77" ht="12.75" customHeight="1" hidden="1"/>
    <row r="78" ht="12.75" customHeight="1" hidden="1"/>
  </sheetData>
  <sheetProtection password="EEFD" sheet="1" scenarios="1" formatRows="0"/>
  <dataValidations count="2">
    <dataValidation type="decimal" allowBlank="1" showInputMessage="1" showErrorMessage="1" promptTitle="Pozor!" prompt="Navýšení může být maximálně do výše záporného zisku." errorTitle="Chyba" error="Navýšení může být maximálně do výše záporného zisku." sqref="G50:G52 M50:M52 J50:J52">
      <formula1>0</formula1>
      <formula2>IF(G43&gt;=0,0,ABS(G43))</formula2>
    </dataValidation>
    <dataValidation type="decimal" allowBlank="1" showInputMessage="1" showErrorMessage="1" promptTitle="Pozor!" prompt="Navýšení může být maximálně do výše záporného zisku." errorTitle="Chyba" error="Navýšení může být maximálně do výše záporného zisku." sqref="J53:J54 M53:M54 G54">
      <formula1>0</formula1>
      <formula2>IF(G44&gt;=0,0,ABS(G44))</formula2>
    </dataValidation>
  </dataValidations>
  <printOptions/>
  <pageMargins left="0.7" right="0.7" top="0.787401575" bottom="0.7874015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74"/>
  <sheetViews>
    <sheetView zoomScaleSheetLayoutView="100" workbookViewId="0" topLeftCell="A1"/>
  </sheetViews>
  <sheetFormatPr defaultColWidth="0" defaultRowHeight="12.75" customHeight="1" zeroHeight="1"/>
  <cols>
    <col min="1" max="1" width="4.7109375" style="10" customWidth="1"/>
    <col min="2" max="2" width="9.140625" style="10" customWidth="1"/>
    <col min="3" max="3" width="22.140625" style="10" customWidth="1"/>
    <col min="4" max="4" width="16.8515625" style="10" customWidth="1"/>
    <col min="5" max="14" width="7.7109375" style="10" customWidth="1"/>
    <col min="15" max="15" width="4.7109375" style="50" customWidth="1"/>
    <col min="16" max="16384" width="9.140625" style="10" hidden="1" customWidth="1"/>
  </cols>
  <sheetData>
    <row r="1" ht="12.75"/>
    <row r="2" ht="12.75">
      <c r="B2" s="11" t="s">
        <v>55</v>
      </c>
    </row>
    <row r="3" ht="12.75">
      <c r="B3" s="51" t="s">
        <v>54</v>
      </c>
    </row>
    <row r="4" spans="2:14" ht="12.75">
      <c r="B4" s="47"/>
      <c r="C4" s="28"/>
      <c r="D4" s="48"/>
      <c r="E4" s="22">
        <f>VR</f>
        <v>1</v>
      </c>
      <c r="F4" s="22">
        <f>E4+1</f>
        <v>2</v>
      </c>
      <c r="G4" s="22">
        <f aca="true" t="shared" si="0" ref="G4:N4">F4+1</f>
        <v>3</v>
      </c>
      <c r="H4" s="22">
        <f t="shared" si="0"/>
        <v>4</v>
      </c>
      <c r="I4" s="22">
        <f t="shared" si="0"/>
        <v>5</v>
      </c>
      <c r="J4" s="22">
        <f t="shared" si="0"/>
        <v>6</v>
      </c>
      <c r="K4" s="22">
        <f t="shared" si="0"/>
        <v>7</v>
      </c>
      <c r="L4" s="22">
        <f t="shared" si="0"/>
        <v>8</v>
      </c>
      <c r="M4" s="22">
        <f t="shared" si="0"/>
        <v>9</v>
      </c>
      <c r="N4" s="22">
        <f t="shared" si="0"/>
        <v>10</v>
      </c>
    </row>
    <row r="5" spans="2:15" ht="12.75">
      <c r="B5" s="741" t="str">
        <f>'Cenove indexy'!B5:D5</f>
        <v>Index spotřebitelských cen</v>
      </c>
      <c r="C5" s="742"/>
      <c r="D5" s="743"/>
      <c r="E5" s="52">
        <f>IF('Cenove indexy'!$E5=0,0,'Cenove indexy'!E5/'Cenove indexy'!$E5)</f>
        <v>1</v>
      </c>
      <c r="F5" s="52">
        <f>IF('Cenove indexy'!$E5=0,0,'Cenove indexy'!F5/'Cenove indexy'!$E5)</f>
        <v>0</v>
      </c>
      <c r="G5" s="52">
        <f>IF('Cenove indexy'!$E5=0,0,'Cenove indexy'!G5/'Cenove indexy'!$E5)</f>
        <v>0</v>
      </c>
      <c r="H5" s="52">
        <f>IF('Cenove indexy'!$E5=0,0,'Cenove indexy'!H5/'Cenove indexy'!$E5)</f>
        <v>0</v>
      </c>
      <c r="I5" s="52">
        <f>IF('Cenove indexy'!$E5=0,0,'Cenove indexy'!I5/'Cenove indexy'!$E5)</f>
        <v>0</v>
      </c>
      <c r="J5" s="52">
        <f>IF('Cenove indexy'!$E5=0,0,'Cenove indexy'!J5/'Cenove indexy'!$E5)</f>
        <v>0</v>
      </c>
      <c r="K5" s="52">
        <f>IF('Cenove indexy'!$E5=0,0,'Cenove indexy'!K5/'Cenove indexy'!$E5)</f>
        <v>0</v>
      </c>
      <c r="L5" s="52">
        <f>IF('Cenove indexy'!$E5=0,0,'Cenove indexy'!L5/'Cenove indexy'!$E5)</f>
        <v>0</v>
      </c>
      <c r="M5" s="52">
        <f>IF('Cenove indexy'!$E5=0,0,'Cenove indexy'!M5/'Cenove indexy'!$E5)</f>
        <v>0</v>
      </c>
      <c r="N5" s="52">
        <f>IF('Cenove indexy'!$E5=0,0,'Cenove indexy'!N5/'Cenove indexy'!$E5)</f>
        <v>0</v>
      </c>
      <c r="O5" s="50">
        <v>1</v>
      </c>
    </row>
    <row r="6" spans="2:15" ht="12.75">
      <c r="B6" s="741" t="str">
        <f>'Cenove indexy'!B6:D6</f>
        <v>Upravený index spotřebitelských cen</v>
      </c>
      <c r="C6" s="742"/>
      <c r="D6" s="743"/>
      <c r="E6" s="52">
        <f>IF(OR('Cenove indexy'!$E6=0,'Cenove indexy'!$E6=""),0,'Cenove indexy'!E6/'Cenove indexy'!$E6)</f>
        <v>1</v>
      </c>
      <c r="F6" s="52">
        <f>IF(OR('Cenove indexy'!$E6=0,'Cenove indexy'!$E6=""),0,'Cenove indexy'!F6/'Cenove indexy'!$E6)</f>
        <v>0</v>
      </c>
      <c r="G6" s="52">
        <f>IF(OR('Cenove indexy'!$E6=0,'Cenove indexy'!$E6=""),0,'Cenove indexy'!G6/'Cenove indexy'!$E6)</f>
        <v>0</v>
      </c>
      <c r="H6" s="52">
        <f>IF(OR('Cenove indexy'!$E6=0,'Cenove indexy'!$E6=""),0,'Cenove indexy'!H6/'Cenove indexy'!$E6)</f>
        <v>0</v>
      </c>
      <c r="I6" s="52">
        <f>IF(OR('Cenove indexy'!$E6=0,'Cenove indexy'!$E6=""),0,'Cenove indexy'!I6/'Cenove indexy'!$E6)</f>
        <v>0</v>
      </c>
      <c r="J6" s="52">
        <f>IF(OR('Cenove indexy'!$E6=0,'Cenove indexy'!$E6=""),0,'Cenove indexy'!J6/'Cenove indexy'!$E6)</f>
        <v>0</v>
      </c>
      <c r="K6" s="52">
        <f>IF(OR('Cenove indexy'!$E6=0,'Cenove indexy'!$E6=""),0,'Cenove indexy'!K6/'Cenove indexy'!$E6)</f>
        <v>0</v>
      </c>
      <c r="L6" s="52">
        <f>IF(OR('Cenove indexy'!$E6=0,'Cenove indexy'!$E6=""),0,'Cenove indexy'!L6/'Cenove indexy'!$E6)</f>
        <v>0</v>
      </c>
      <c r="M6" s="52">
        <f>IF(OR('Cenove indexy'!$E6=0,'Cenove indexy'!$E6=""),0,'Cenove indexy'!M6/'Cenove indexy'!$E6)</f>
        <v>0</v>
      </c>
      <c r="N6" s="52">
        <f>IF(OR('Cenove indexy'!$E6=0,'Cenove indexy'!$E6=""),0,'Cenove indexy'!N6/'Cenove indexy'!$E6)</f>
        <v>0</v>
      </c>
      <c r="O6" s="50">
        <v>2</v>
      </c>
    </row>
    <row r="7" spans="2:15" ht="12.75">
      <c r="B7" s="741" t="str">
        <f>'Cenove indexy'!B7:D7</f>
        <v>Index mezd v MSK</v>
      </c>
      <c r="C7" s="742"/>
      <c r="D7" s="743"/>
      <c r="E7" s="52">
        <f>IF('Cenove indexy'!$E7=0,0,'Cenove indexy'!E7/'Cenove indexy'!$E7)</f>
        <v>1</v>
      </c>
      <c r="F7" s="52">
        <f>IF('Cenove indexy'!$E7=0,0,'Cenove indexy'!F7/'Cenove indexy'!$E7)</f>
        <v>0</v>
      </c>
      <c r="G7" s="52">
        <f>IF('Cenove indexy'!$E7=0,0,'Cenove indexy'!G7/'Cenove indexy'!$E7)</f>
        <v>0</v>
      </c>
      <c r="H7" s="52">
        <f>IF('Cenove indexy'!$E7=0,0,'Cenove indexy'!H7/'Cenove indexy'!$E7)</f>
        <v>0</v>
      </c>
      <c r="I7" s="52">
        <f>IF('Cenove indexy'!$E7=0,0,'Cenove indexy'!I7/'Cenove indexy'!$E7)</f>
        <v>0</v>
      </c>
      <c r="J7" s="52">
        <f>IF('Cenove indexy'!$E7=0,0,'Cenove indexy'!J7/'Cenove indexy'!$E7)</f>
        <v>0</v>
      </c>
      <c r="K7" s="52">
        <f>IF('Cenove indexy'!$E7=0,0,'Cenove indexy'!K7/'Cenove indexy'!$E7)</f>
        <v>0</v>
      </c>
      <c r="L7" s="52">
        <f>IF('Cenove indexy'!$E7=0,0,'Cenove indexy'!L7/'Cenove indexy'!$E7)</f>
        <v>0</v>
      </c>
      <c r="M7" s="52">
        <f>IF('Cenove indexy'!$E7=0,0,'Cenove indexy'!M7/'Cenove indexy'!$E7)</f>
        <v>0</v>
      </c>
      <c r="N7" s="52">
        <f>IF('Cenove indexy'!$E7=0,0,'Cenove indexy'!N7/'Cenove indexy'!$E7)</f>
        <v>0</v>
      </c>
      <c r="O7" s="50">
        <v>3</v>
      </c>
    </row>
    <row r="8" spans="2:15" ht="12.75">
      <c r="B8" s="741" t="str">
        <f>'Cenove indexy'!B8:D8</f>
        <v>Index pro naftu</v>
      </c>
      <c r="C8" s="742"/>
      <c r="D8" s="743"/>
      <c r="E8" s="52">
        <f>IF('Cenove indexy'!$E8=0,0,'Cenove indexy'!E8/'Cenove indexy'!$E8)</f>
        <v>1</v>
      </c>
      <c r="F8" s="52">
        <f>IF('Cenove indexy'!$E8=0,0,'Cenove indexy'!F8/'Cenove indexy'!$E8)</f>
        <v>0</v>
      </c>
      <c r="G8" s="52">
        <f>IF('Cenove indexy'!$E8=0,0,'Cenove indexy'!G8/'Cenove indexy'!$E8)</f>
        <v>0</v>
      </c>
      <c r="H8" s="52">
        <f>IF('Cenove indexy'!$E8=0,0,'Cenove indexy'!H8/'Cenove indexy'!$E8)</f>
        <v>0</v>
      </c>
      <c r="I8" s="52">
        <f>IF('Cenove indexy'!$E8=0,0,'Cenove indexy'!I8/'Cenove indexy'!$E8)</f>
        <v>0</v>
      </c>
      <c r="J8" s="52">
        <f>IF('Cenove indexy'!$E8=0,0,'Cenove indexy'!J8/'Cenove indexy'!$E8)</f>
        <v>0</v>
      </c>
      <c r="K8" s="52">
        <f>IF('Cenove indexy'!$E8=0,0,'Cenove indexy'!K8/'Cenove indexy'!$E8)</f>
        <v>0</v>
      </c>
      <c r="L8" s="52">
        <f>IF('Cenove indexy'!$E8=0,0,'Cenove indexy'!L8/'Cenove indexy'!$E8)</f>
        <v>0</v>
      </c>
      <c r="M8" s="52">
        <f>IF('Cenove indexy'!$E8=0,0,'Cenove indexy'!M8/'Cenove indexy'!$E8)</f>
        <v>0</v>
      </c>
      <c r="N8" s="52">
        <f>IF('Cenove indexy'!$E8=0,0,'Cenove indexy'!N8/'Cenove indexy'!$E8)</f>
        <v>0</v>
      </c>
      <c r="O8" s="50">
        <v>4</v>
      </c>
    </row>
    <row r="9" spans="2:15" ht="12.75">
      <c r="B9" s="741" t="str">
        <f>'Cenove indexy'!B9:D9</f>
        <v>Index pro CNG</v>
      </c>
      <c r="C9" s="742"/>
      <c r="D9" s="743"/>
      <c r="E9" s="52">
        <f>IF('Cenove indexy'!$E9=0,0,'Cenove indexy'!E9/'Cenove indexy'!$E9)</f>
        <v>1</v>
      </c>
      <c r="F9" s="52">
        <f>IF('Cenove indexy'!$E9=0,0,'Cenove indexy'!F9/'Cenove indexy'!$E9)</f>
        <v>0</v>
      </c>
      <c r="G9" s="52">
        <f>IF('Cenove indexy'!$E9=0,0,'Cenove indexy'!G9/'Cenove indexy'!$E9)</f>
        <v>0</v>
      </c>
      <c r="H9" s="52">
        <f>IF('Cenove indexy'!$E9=0,0,'Cenove indexy'!H9/'Cenove indexy'!$E9)</f>
        <v>0</v>
      </c>
      <c r="I9" s="52">
        <f>IF('Cenove indexy'!$E9=0,0,'Cenove indexy'!I9/'Cenove indexy'!$E9)</f>
        <v>0</v>
      </c>
      <c r="J9" s="52">
        <f>IF('Cenove indexy'!$E9=0,0,'Cenove indexy'!J9/'Cenove indexy'!$E9)</f>
        <v>0</v>
      </c>
      <c r="K9" s="52">
        <f>IF('Cenove indexy'!$E9=0,0,'Cenove indexy'!K9/'Cenove indexy'!$E9)</f>
        <v>0</v>
      </c>
      <c r="L9" s="52">
        <f>IF('Cenove indexy'!$E9=0,0,'Cenove indexy'!L9/'Cenove indexy'!$E9)</f>
        <v>0</v>
      </c>
      <c r="M9" s="52">
        <f>IF('Cenove indexy'!$E9=0,0,'Cenove indexy'!M9/'Cenove indexy'!$E9)</f>
        <v>0</v>
      </c>
      <c r="N9" s="52">
        <f>IF('Cenove indexy'!$E9=0,0,'Cenove indexy'!N9/'Cenove indexy'!$E9)</f>
        <v>0</v>
      </c>
      <c r="O9" s="50">
        <v>5</v>
      </c>
    </row>
    <row r="10" spans="2:15" ht="12.75">
      <c r="B10" s="741" t="str">
        <f>'Cenove indexy'!B10:D10</f>
        <v>Index pro elektřinu</v>
      </c>
      <c r="C10" s="742"/>
      <c r="D10" s="743"/>
      <c r="E10" s="52">
        <f>IF('Cenove indexy'!$E10=0,0,'Cenove indexy'!E10/'Cenove indexy'!$E10)</f>
        <v>1</v>
      </c>
      <c r="F10" s="52">
        <f>IF('Cenove indexy'!$E10=0,0,'Cenove indexy'!F10/'Cenove indexy'!$E10)</f>
        <v>0</v>
      </c>
      <c r="G10" s="52">
        <f>IF('Cenove indexy'!$E10=0,0,'Cenove indexy'!G10/'Cenove indexy'!$E10)</f>
        <v>0</v>
      </c>
      <c r="H10" s="52">
        <f>IF('Cenove indexy'!$E10=0,0,'Cenove indexy'!H10/'Cenove indexy'!$E10)</f>
        <v>0</v>
      </c>
      <c r="I10" s="52">
        <f>IF('Cenove indexy'!$E10=0,0,'Cenove indexy'!I10/'Cenove indexy'!$E10)</f>
        <v>0</v>
      </c>
      <c r="J10" s="52">
        <f>IF('Cenove indexy'!$E10=0,0,'Cenove indexy'!J10/'Cenove indexy'!$E10)</f>
        <v>0</v>
      </c>
      <c r="K10" s="52">
        <f>IF('Cenove indexy'!$E10=0,0,'Cenove indexy'!K10/'Cenove indexy'!$E10)</f>
        <v>0</v>
      </c>
      <c r="L10" s="52">
        <f>IF('Cenove indexy'!$E10=0,0,'Cenove indexy'!L10/'Cenove indexy'!$E10)</f>
        <v>0</v>
      </c>
      <c r="M10" s="52">
        <f>IF('Cenove indexy'!$E10=0,0,'Cenove indexy'!M10/'Cenove indexy'!$E10)</f>
        <v>0</v>
      </c>
      <c r="N10" s="52">
        <f>IF('Cenove indexy'!$E10=0,0,'Cenove indexy'!N10/'Cenove indexy'!$E10)</f>
        <v>0</v>
      </c>
      <c r="O10" s="50">
        <v>6</v>
      </c>
    </row>
    <row r="11" spans="2:15" ht="12.75">
      <c r="B11" s="741" t="str">
        <f>'Cenove indexy'!B11:D11</f>
        <v>Elektronické mýtné - dle skutečného vývoje sazeb</v>
      </c>
      <c r="C11" s="742"/>
      <c r="D11" s="743"/>
      <c r="E11" s="52">
        <f>IF('Cenove indexy'!$E11=0,0,'Cenove indexy'!E11/'Cenove indexy'!$E11)</f>
        <v>1</v>
      </c>
      <c r="F11" s="52">
        <f>IF('Cenove indexy'!$E11=0,0,'Cenove indexy'!F11/'Cenove indexy'!$E11)</f>
        <v>0</v>
      </c>
      <c r="G11" s="52">
        <f>IF('Cenove indexy'!$E11=0,0,'Cenove indexy'!G11/'Cenove indexy'!$E11)</f>
        <v>0</v>
      </c>
      <c r="H11" s="52">
        <f>IF('Cenove indexy'!$E11=0,0,'Cenove indexy'!H11/'Cenove indexy'!$E11)</f>
        <v>0</v>
      </c>
      <c r="I11" s="52">
        <f>IF('Cenove indexy'!$E11=0,0,'Cenove indexy'!I11/'Cenove indexy'!$E11)</f>
        <v>0</v>
      </c>
      <c r="J11" s="52">
        <f>IF('Cenove indexy'!$E11=0,0,'Cenove indexy'!J11/'Cenove indexy'!$E11)</f>
        <v>0</v>
      </c>
      <c r="K11" s="52">
        <f>IF('Cenove indexy'!$E11=0,0,'Cenove indexy'!K11/'Cenove indexy'!$E11)</f>
        <v>0</v>
      </c>
      <c r="L11" s="52">
        <f>IF('Cenove indexy'!$E11=0,0,'Cenove indexy'!L11/'Cenove indexy'!$E11)</f>
        <v>0</v>
      </c>
      <c r="M11" s="52">
        <f>IF('Cenove indexy'!$E11=0,0,'Cenove indexy'!M11/'Cenove indexy'!$E11)</f>
        <v>0</v>
      </c>
      <c r="N11" s="52">
        <f>IF('Cenove indexy'!$E11=0,0,'Cenove indexy'!N11/'Cenove indexy'!$E11)</f>
        <v>0</v>
      </c>
      <c r="O11" s="50">
        <v>7</v>
      </c>
    </row>
    <row r="12" spans="2:15" ht="12.75">
      <c r="B12" s="741" t="str">
        <f>'Cenove indexy'!B12:D12</f>
        <v>Poplatek KODIS</v>
      </c>
      <c r="C12" s="742"/>
      <c r="D12" s="743"/>
      <c r="E12" s="52">
        <f>IF('Cenove indexy'!$E12=0,0,'Cenove indexy'!E12/'Cenove indexy'!$E12)</f>
        <v>1</v>
      </c>
      <c r="F12" s="52">
        <f>IF('Cenove indexy'!$E12=0,0,'Cenove indexy'!F12/'Cenove indexy'!$E12)</f>
        <v>0</v>
      </c>
      <c r="G12" s="52">
        <f>IF('Cenove indexy'!$E12=0,0,'Cenove indexy'!G12/'Cenove indexy'!$E12)</f>
        <v>0</v>
      </c>
      <c r="H12" s="52">
        <f>IF('Cenove indexy'!$E12=0,0,'Cenove indexy'!H12/'Cenove indexy'!$E12)</f>
        <v>0</v>
      </c>
      <c r="I12" s="52">
        <f>IF('Cenove indexy'!$E12=0,0,'Cenove indexy'!I12/'Cenove indexy'!$E12)</f>
        <v>0</v>
      </c>
      <c r="J12" s="52">
        <f>IF('Cenove indexy'!$E12=0,0,'Cenove indexy'!J12/'Cenove indexy'!$E12)</f>
        <v>0</v>
      </c>
      <c r="K12" s="52">
        <f>IF('Cenove indexy'!$E12=0,0,'Cenove indexy'!K12/'Cenove indexy'!$E12)</f>
        <v>0</v>
      </c>
      <c r="L12" s="52">
        <f>IF('Cenove indexy'!$E12=0,0,'Cenove indexy'!L12/'Cenove indexy'!$E12)</f>
        <v>0</v>
      </c>
      <c r="M12" s="52">
        <f>IF('Cenove indexy'!$E12=0,0,'Cenove indexy'!M12/'Cenove indexy'!$E12)</f>
        <v>0</v>
      </c>
      <c r="N12" s="52">
        <f>IF('Cenove indexy'!$E12=0,0,'Cenove indexy'!N12/'Cenove indexy'!$E12)</f>
        <v>0</v>
      </c>
      <c r="O12" s="50">
        <v>8</v>
      </c>
    </row>
    <row r="13" spans="2:15" ht="12.75">
      <c r="B13" s="741" t="str">
        <f>'Cenove indexy'!B13:D13</f>
        <v>(nepoužívá se)</v>
      </c>
      <c r="C13" s="742"/>
      <c r="D13" s="743"/>
      <c r="E13" s="52">
        <f>IF('Cenove indexy'!$E13=0,0,'Cenove indexy'!E13/'Cenove indexy'!$E13)</f>
        <v>1</v>
      </c>
      <c r="F13" s="52">
        <f>IF('Cenove indexy'!$E13=0,0,'Cenove indexy'!F13/'Cenove indexy'!$E13)</f>
        <v>0</v>
      </c>
      <c r="G13" s="52">
        <f>IF('Cenove indexy'!$E13=0,0,'Cenove indexy'!G13/'Cenove indexy'!$E13)</f>
        <v>0</v>
      </c>
      <c r="H13" s="52">
        <f>IF('Cenove indexy'!$E13=0,0,'Cenove indexy'!H13/'Cenove indexy'!$E13)</f>
        <v>0</v>
      </c>
      <c r="I13" s="52">
        <f>IF('Cenove indexy'!$E13=0,0,'Cenove indexy'!I13/'Cenove indexy'!$E13)</f>
        <v>0</v>
      </c>
      <c r="J13" s="52">
        <f>IF('Cenove indexy'!$E13=0,0,'Cenove indexy'!J13/'Cenove indexy'!$E13)</f>
        <v>0</v>
      </c>
      <c r="K13" s="52">
        <f>IF('Cenove indexy'!$E13=0,0,'Cenove indexy'!K13/'Cenove indexy'!$E13)</f>
        <v>0</v>
      </c>
      <c r="L13" s="52">
        <f>IF('Cenove indexy'!$E13=0,0,'Cenove indexy'!L13/'Cenove indexy'!$E13)</f>
        <v>0</v>
      </c>
      <c r="M13" s="52">
        <f>IF('Cenove indexy'!$E13=0,0,'Cenove indexy'!M13/'Cenove indexy'!$E13)</f>
        <v>0</v>
      </c>
      <c r="N13" s="52">
        <f>IF('Cenove indexy'!$E13=0,0,'Cenove indexy'!N13/'Cenove indexy'!$E13)</f>
        <v>0</v>
      </c>
      <c r="O13" s="50">
        <v>9</v>
      </c>
    </row>
    <row r="14" spans="2:15" ht="12.75">
      <c r="B14" s="741" t="str">
        <f>'Cenove indexy'!B14:D14</f>
        <v>(nepoužívá se)</v>
      </c>
      <c r="C14" s="742"/>
      <c r="D14" s="743"/>
      <c r="E14" s="52">
        <f>IF('Cenove indexy'!$E14=0,0,'Cenove indexy'!E14/'Cenove indexy'!$E14)</f>
        <v>1</v>
      </c>
      <c r="F14" s="52">
        <f>IF('Cenove indexy'!$E14=0,0,'Cenove indexy'!F14/'Cenove indexy'!$E14)</f>
        <v>0</v>
      </c>
      <c r="G14" s="52">
        <f>IF('Cenove indexy'!$E14=0,0,'Cenove indexy'!G14/'Cenove indexy'!$E14)</f>
        <v>0</v>
      </c>
      <c r="H14" s="52">
        <f>IF('Cenove indexy'!$E14=0,0,'Cenove indexy'!H14/'Cenove indexy'!$E14)</f>
        <v>0</v>
      </c>
      <c r="I14" s="52">
        <f>IF('Cenove indexy'!$E14=0,0,'Cenove indexy'!I14/'Cenove indexy'!$E14)</f>
        <v>0</v>
      </c>
      <c r="J14" s="52">
        <f>IF('Cenove indexy'!$E14=0,0,'Cenove indexy'!J14/'Cenove indexy'!$E14)</f>
        <v>0</v>
      </c>
      <c r="K14" s="52">
        <f>IF('Cenove indexy'!$E14=0,0,'Cenove indexy'!K14/'Cenove indexy'!$E14)</f>
        <v>0</v>
      </c>
      <c r="L14" s="52">
        <f>IF('Cenove indexy'!$E14=0,0,'Cenove indexy'!L14/'Cenove indexy'!$E14)</f>
        <v>0</v>
      </c>
      <c r="M14" s="52">
        <f>IF('Cenove indexy'!$E14=0,0,'Cenove indexy'!M14/'Cenove indexy'!$E14)</f>
        <v>0</v>
      </c>
      <c r="N14" s="52">
        <f>IF('Cenove indexy'!$E14=0,0,'Cenove indexy'!N14/'Cenove indexy'!$E14)</f>
        <v>0</v>
      </c>
      <c r="O14" s="50">
        <v>10</v>
      </c>
    </row>
    <row r="15" ht="12.75"/>
    <row r="16" ht="12.75">
      <c r="B16" s="11" t="s">
        <v>90</v>
      </c>
    </row>
    <row r="17" ht="12.75"/>
    <row r="18" spans="2:14" ht="12.75">
      <c r="B18" s="53" t="s">
        <v>35</v>
      </c>
      <c r="C18" s="53" t="s">
        <v>65</v>
      </c>
      <c r="D18" s="54"/>
      <c r="E18" s="54"/>
      <c r="F18" s="53"/>
      <c r="G18" s="744"/>
      <c r="H18" s="745"/>
      <c r="I18" s="55"/>
      <c r="J18" s="54"/>
      <c r="K18" s="54"/>
      <c r="L18" s="54"/>
      <c r="M18" s="54"/>
      <c r="N18" s="54"/>
    </row>
    <row r="19" spans="2:15" ht="12.75">
      <c r="B19" s="56" t="s">
        <v>22</v>
      </c>
      <c r="C19" s="47" t="s">
        <v>125</v>
      </c>
      <c r="D19" s="48"/>
      <c r="E19" s="57">
        <f>INDEX($E$5:$N$14,$O19,MATCH(E$4,$E$4:$N$4,))</f>
        <v>1</v>
      </c>
      <c r="F19" s="57">
        <f aca="true" t="shared" si="1" ref="F19:N35">INDEX($E$5:$N$14,$O19,MATCH(F$4,$E$4:$N$4,))</f>
        <v>0</v>
      </c>
      <c r="G19" s="57">
        <f t="shared" si="1"/>
        <v>0</v>
      </c>
      <c r="H19" s="57">
        <f t="shared" si="1"/>
        <v>0</v>
      </c>
      <c r="I19" s="57">
        <f t="shared" si="1"/>
        <v>0</v>
      </c>
      <c r="J19" s="57">
        <f t="shared" si="1"/>
        <v>0</v>
      </c>
      <c r="K19" s="57">
        <f t="shared" si="1"/>
        <v>0</v>
      </c>
      <c r="L19" s="57">
        <f t="shared" si="1"/>
        <v>0</v>
      </c>
      <c r="M19" s="57">
        <f t="shared" si="1"/>
        <v>0</v>
      </c>
      <c r="N19" s="57">
        <f t="shared" si="1"/>
        <v>0</v>
      </c>
      <c r="O19" s="50">
        <f>'Cenove indexy'!O31</f>
        <v>4</v>
      </c>
    </row>
    <row r="20" spans="2:15" ht="12.75">
      <c r="B20" s="56" t="s">
        <v>23</v>
      </c>
      <c r="C20" s="47" t="s">
        <v>126</v>
      </c>
      <c r="D20" s="48"/>
      <c r="E20" s="57">
        <f aca="true" t="shared" si="2" ref="E20:N43">INDEX($E$5:$N$14,$O20,MATCH(E$4,$E$4:$N$4,))</f>
        <v>1</v>
      </c>
      <c r="F20" s="57">
        <f t="shared" si="1"/>
        <v>0</v>
      </c>
      <c r="G20" s="57">
        <f t="shared" si="1"/>
        <v>0</v>
      </c>
      <c r="H20" s="57">
        <f t="shared" si="1"/>
        <v>0</v>
      </c>
      <c r="I20" s="57">
        <f t="shared" si="1"/>
        <v>0</v>
      </c>
      <c r="J20" s="57">
        <f t="shared" si="1"/>
        <v>0</v>
      </c>
      <c r="K20" s="57">
        <f t="shared" si="1"/>
        <v>0</v>
      </c>
      <c r="L20" s="57">
        <f t="shared" si="1"/>
        <v>0</v>
      </c>
      <c r="M20" s="57">
        <f t="shared" si="1"/>
        <v>0</v>
      </c>
      <c r="N20" s="57">
        <f t="shared" si="1"/>
        <v>0</v>
      </c>
      <c r="O20" s="50">
        <f>'Cenove indexy'!O32</f>
        <v>5</v>
      </c>
    </row>
    <row r="21" spans="2:15" ht="12.75">
      <c r="B21" s="56" t="s">
        <v>24</v>
      </c>
      <c r="C21" s="47" t="s">
        <v>262</v>
      </c>
      <c r="D21" s="48"/>
      <c r="E21" s="57">
        <f t="shared" si="2"/>
        <v>1</v>
      </c>
      <c r="F21" s="57">
        <f t="shared" si="1"/>
        <v>0</v>
      </c>
      <c r="G21" s="57">
        <f t="shared" si="1"/>
        <v>0</v>
      </c>
      <c r="H21" s="57">
        <f t="shared" si="1"/>
        <v>0</v>
      </c>
      <c r="I21" s="57">
        <f t="shared" si="1"/>
        <v>0</v>
      </c>
      <c r="J21" s="57">
        <f t="shared" si="1"/>
        <v>0</v>
      </c>
      <c r="K21" s="57">
        <f t="shared" si="1"/>
        <v>0</v>
      </c>
      <c r="L21" s="57">
        <f t="shared" si="1"/>
        <v>0</v>
      </c>
      <c r="M21" s="57">
        <f t="shared" si="1"/>
        <v>0</v>
      </c>
      <c r="N21" s="57">
        <f t="shared" si="1"/>
        <v>0</v>
      </c>
      <c r="O21" s="50">
        <f>'Cenove indexy'!O33</f>
        <v>6</v>
      </c>
    </row>
    <row r="22" spans="2:15" ht="12.75">
      <c r="B22" s="56" t="s">
        <v>123</v>
      </c>
      <c r="C22" s="47" t="s">
        <v>127</v>
      </c>
      <c r="D22" s="48"/>
      <c r="E22" s="57">
        <f t="shared" si="2"/>
        <v>1</v>
      </c>
      <c r="F22" s="57">
        <f t="shared" si="1"/>
        <v>0</v>
      </c>
      <c r="G22" s="57">
        <f t="shared" si="1"/>
        <v>0</v>
      </c>
      <c r="H22" s="57">
        <f t="shared" si="1"/>
        <v>0</v>
      </c>
      <c r="I22" s="57">
        <f t="shared" si="1"/>
        <v>0</v>
      </c>
      <c r="J22" s="57">
        <f t="shared" si="1"/>
        <v>0</v>
      </c>
      <c r="K22" s="57">
        <f t="shared" si="1"/>
        <v>0</v>
      </c>
      <c r="L22" s="57">
        <f t="shared" si="1"/>
        <v>0</v>
      </c>
      <c r="M22" s="57">
        <f t="shared" si="1"/>
        <v>0</v>
      </c>
      <c r="N22" s="57">
        <f t="shared" si="1"/>
        <v>0</v>
      </c>
      <c r="O22" s="50">
        <f>'Cenove indexy'!O34</f>
        <v>2</v>
      </c>
    </row>
    <row r="23" spans="2:15" ht="12.75">
      <c r="B23" s="56">
        <v>12</v>
      </c>
      <c r="C23" s="47" t="s">
        <v>8</v>
      </c>
      <c r="D23" s="48"/>
      <c r="E23" s="57">
        <f t="shared" si="2"/>
        <v>1</v>
      </c>
      <c r="F23" s="57">
        <f t="shared" si="1"/>
        <v>0</v>
      </c>
      <c r="G23" s="57">
        <f t="shared" si="1"/>
        <v>0</v>
      </c>
      <c r="H23" s="57">
        <f t="shared" si="1"/>
        <v>0</v>
      </c>
      <c r="I23" s="57">
        <f t="shared" si="1"/>
        <v>0</v>
      </c>
      <c r="J23" s="57">
        <f t="shared" si="1"/>
        <v>0</v>
      </c>
      <c r="K23" s="57">
        <f t="shared" si="1"/>
        <v>0</v>
      </c>
      <c r="L23" s="57">
        <f t="shared" si="1"/>
        <v>0</v>
      </c>
      <c r="M23" s="57">
        <f t="shared" si="1"/>
        <v>0</v>
      </c>
      <c r="N23" s="57">
        <f t="shared" si="1"/>
        <v>0</v>
      </c>
      <c r="O23" s="50">
        <f>'Cenove indexy'!O35</f>
        <v>2</v>
      </c>
    </row>
    <row r="24" spans="2:15" ht="12.75">
      <c r="B24" s="56">
        <v>13</v>
      </c>
      <c r="C24" s="47" t="s">
        <v>9</v>
      </c>
      <c r="D24" s="48"/>
      <c r="E24" s="57">
        <f t="shared" si="2"/>
        <v>1</v>
      </c>
      <c r="F24" s="57">
        <f t="shared" si="1"/>
        <v>0</v>
      </c>
      <c r="G24" s="57">
        <f t="shared" si="1"/>
        <v>0</v>
      </c>
      <c r="H24" s="57">
        <f t="shared" si="1"/>
        <v>0</v>
      </c>
      <c r="I24" s="57">
        <f t="shared" si="1"/>
        <v>0</v>
      </c>
      <c r="J24" s="57">
        <f t="shared" si="1"/>
        <v>0</v>
      </c>
      <c r="K24" s="57">
        <f t="shared" si="1"/>
        <v>0</v>
      </c>
      <c r="L24" s="57">
        <f t="shared" si="1"/>
        <v>0</v>
      </c>
      <c r="M24" s="57">
        <f t="shared" si="1"/>
        <v>0</v>
      </c>
      <c r="N24" s="57">
        <f t="shared" si="1"/>
        <v>0</v>
      </c>
      <c r="O24" s="50">
        <f>'Cenove indexy'!O36</f>
        <v>2</v>
      </c>
    </row>
    <row r="25" spans="2:15" ht="12.75">
      <c r="B25" s="56" t="s">
        <v>28</v>
      </c>
      <c r="C25" s="47" t="s">
        <v>59</v>
      </c>
      <c r="D25" s="48"/>
      <c r="E25" s="57">
        <f t="shared" si="2"/>
        <v>1</v>
      </c>
      <c r="F25" s="57">
        <f t="shared" si="1"/>
        <v>0</v>
      </c>
      <c r="G25" s="57">
        <f t="shared" si="1"/>
        <v>0</v>
      </c>
      <c r="H25" s="57">
        <f t="shared" si="1"/>
        <v>0</v>
      </c>
      <c r="I25" s="57">
        <f t="shared" si="1"/>
        <v>0</v>
      </c>
      <c r="J25" s="57">
        <f t="shared" si="1"/>
        <v>0</v>
      </c>
      <c r="K25" s="57">
        <f t="shared" si="1"/>
        <v>0</v>
      </c>
      <c r="L25" s="57">
        <f t="shared" si="1"/>
        <v>0</v>
      </c>
      <c r="M25" s="57">
        <f t="shared" si="1"/>
        <v>0</v>
      </c>
      <c r="N25" s="57">
        <f t="shared" si="1"/>
        <v>0</v>
      </c>
      <c r="O25" s="50">
        <f>'Cenove indexy'!O37</f>
        <v>2</v>
      </c>
    </row>
    <row r="26" spans="2:15" ht="12.75">
      <c r="B26" s="56" t="s">
        <v>29</v>
      </c>
      <c r="C26" s="47" t="s">
        <v>60</v>
      </c>
      <c r="D26" s="48"/>
      <c r="E26" s="57">
        <f t="shared" si="2"/>
        <v>1</v>
      </c>
      <c r="F26" s="57">
        <f t="shared" si="1"/>
        <v>0</v>
      </c>
      <c r="G26" s="57">
        <f t="shared" si="1"/>
        <v>0</v>
      </c>
      <c r="H26" s="57">
        <f t="shared" si="1"/>
        <v>0</v>
      </c>
      <c r="I26" s="57">
        <f t="shared" si="1"/>
        <v>0</v>
      </c>
      <c r="J26" s="57">
        <f t="shared" si="1"/>
        <v>0</v>
      </c>
      <c r="K26" s="57">
        <f t="shared" si="1"/>
        <v>0</v>
      </c>
      <c r="L26" s="57">
        <f t="shared" si="1"/>
        <v>0</v>
      </c>
      <c r="M26" s="57">
        <f t="shared" si="1"/>
        <v>0</v>
      </c>
      <c r="N26" s="57">
        <f t="shared" si="1"/>
        <v>0</v>
      </c>
      <c r="O26" s="50">
        <f>'Cenove indexy'!O38</f>
        <v>2</v>
      </c>
    </row>
    <row r="27" spans="2:15" ht="12.75">
      <c r="B27" s="56">
        <v>15</v>
      </c>
      <c r="C27" s="47" t="s">
        <v>42</v>
      </c>
      <c r="D27" s="48"/>
      <c r="E27" s="57">
        <f t="shared" si="2"/>
        <v>1</v>
      </c>
      <c r="F27" s="57">
        <f t="shared" si="1"/>
        <v>0</v>
      </c>
      <c r="G27" s="57">
        <f t="shared" si="1"/>
        <v>0</v>
      </c>
      <c r="H27" s="57">
        <f t="shared" si="1"/>
        <v>0</v>
      </c>
      <c r="I27" s="57">
        <f t="shared" si="1"/>
        <v>0</v>
      </c>
      <c r="J27" s="57">
        <f t="shared" si="1"/>
        <v>0</v>
      </c>
      <c r="K27" s="57">
        <f t="shared" si="1"/>
        <v>0</v>
      </c>
      <c r="L27" s="57">
        <f t="shared" si="1"/>
        <v>0</v>
      </c>
      <c r="M27" s="57">
        <f t="shared" si="1"/>
        <v>0</v>
      </c>
      <c r="N27" s="57">
        <f t="shared" si="1"/>
        <v>0</v>
      </c>
      <c r="O27" s="50">
        <f>'Cenove indexy'!O39</f>
        <v>2</v>
      </c>
    </row>
    <row r="28" spans="2:15" ht="12.75">
      <c r="B28" s="56" t="s">
        <v>30</v>
      </c>
      <c r="C28" s="47" t="s">
        <v>61</v>
      </c>
      <c r="D28" s="48"/>
      <c r="E28" s="57">
        <f t="shared" si="2"/>
        <v>1</v>
      </c>
      <c r="F28" s="57">
        <f t="shared" si="1"/>
        <v>0</v>
      </c>
      <c r="G28" s="57">
        <f t="shared" si="1"/>
        <v>0</v>
      </c>
      <c r="H28" s="57">
        <f t="shared" si="1"/>
        <v>0</v>
      </c>
      <c r="I28" s="57">
        <f t="shared" si="1"/>
        <v>0</v>
      </c>
      <c r="J28" s="57">
        <f t="shared" si="1"/>
        <v>0</v>
      </c>
      <c r="K28" s="57">
        <f t="shared" si="1"/>
        <v>0</v>
      </c>
      <c r="L28" s="57">
        <f t="shared" si="1"/>
        <v>0</v>
      </c>
      <c r="M28" s="57">
        <f t="shared" si="1"/>
        <v>0</v>
      </c>
      <c r="N28" s="57">
        <f t="shared" si="1"/>
        <v>0</v>
      </c>
      <c r="O28" s="50">
        <f>'Cenove indexy'!O40</f>
        <v>3</v>
      </c>
    </row>
    <row r="29" spans="2:15" ht="12.75">
      <c r="B29" s="56" t="s">
        <v>31</v>
      </c>
      <c r="C29" s="47" t="s">
        <v>62</v>
      </c>
      <c r="D29" s="48"/>
      <c r="E29" s="57">
        <f t="shared" si="2"/>
        <v>1</v>
      </c>
      <c r="F29" s="57">
        <f t="shared" si="1"/>
        <v>0</v>
      </c>
      <c r="G29" s="57">
        <f t="shared" si="1"/>
        <v>0</v>
      </c>
      <c r="H29" s="57">
        <f t="shared" si="1"/>
        <v>0</v>
      </c>
      <c r="I29" s="57">
        <f t="shared" si="1"/>
        <v>0</v>
      </c>
      <c r="J29" s="57">
        <f t="shared" si="1"/>
        <v>0</v>
      </c>
      <c r="K29" s="57">
        <f t="shared" si="1"/>
        <v>0</v>
      </c>
      <c r="L29" s="57">
        <f t="shared" si="1"/>
        <v>0</v>
      </c>
      <c r="M29" s="57">
        <f t="shared" si="1"/>
        <v>0</v>
      </c>
      <c r="N29" s="57">
        <f t="shared" si="1"/>
        <v>0</v>
      </c>
      <c r="O29" s="50">
        <f>'Cenove indexy'!O41</f>
        <v>3</v>
      </c>
    </row>
    <row r="30" spans="2:15" ht="12.75">
      <c r="B30" s="56" t="s">
        <v>40</v>
      </c>
      <c r="C30" s="47" t="s">
        <v>63</v>
      </c>
      <c r="D30" s="48"/>
      <c r="E30" s="57">
        <f t="shared" si="2"/>
        <v>1</v>
      </c>
      <c r="F30" s="57">
        <f t="shared" si="1"/>
        <v>0</v>
      </c>
      <c r="G30" s="57">
        <f t="shared" si="1"/>
        <v>0</v>
      </c>
      <c r="H30" s="57">
        <f t="shared" si="1"/>
        <v>0</v>
      </c>
      <c r="I30" s="57">
        <f t="shared" si="1"/>
        <v>0</v>
      </c>
      <c r="J30" s="57">
        <f t="shared" si="1"/>
        <v>0</v>
      </c>
      <c r="K30" s="57">
        <f t="shared" si="1"/>
        <v>0</v>
      </c>
      <c r="L30" s="57">
        <f t="shared" si="1"/>
        <v>0</v>
      </c>
      <c r="M30" s="57">
        <f t="shared" si="1"/>
        <v>0</v>
      </c>
      <c r="N30" s="57">
        <f t="shared" si="1"/>
        <v>0</v>
      </c>
      <c r="O30" s="50">
        <f>'Cenove indexy'!O42</f>
        <v>3</v>
      </c>
    </row>
    <row r="31" spans="2:15" ht="12.75">
      <c r="B31" s="56" t="s">
        <v>41</v>
      </c>
      <c r="C31" s="47" t="s">
        <v>64</v>
      </c>
      <c r="D31" s="48"/>
      <c r="E31" s="57">
        <f t="shared" si="2"/>
        <v>1</v>
      </c>
      <c r="F31" s="57">
        <f t="shared" si="1"/>
        <v>0</v>
      </c>
      <c r="G31" s="57">
        <f t="shared" si="1"/>
        <v>0</v>
      </c>
      <c r="H31" s="57">
        <f t="shared" si="1"/>
        <v>0</v>
      </c>
      <c r="I31" s="57">
        <f t="shared" si="1"/>
        <v>0</v>
      </c>
      <c r="J31" s="57">
        <f t="shared" si="1"/>
        <v>0</v>
      </c>
      <c r="K31" s="57">
        <f t="shared" si="1"/>
        <v>0</v>
      </c>
      <c r="L31" s="57">
        <f t="shared" si="1"/>
        <v>0</v>
      </c>
      <c r="M31" s="57">
        <f t="shared" si="1"/>
        <v>0</v>
      </c>
      <c r="N31" s="57">
        <f t="shared" si="1"/>
        <v>0</v>
      </c>
      <c r="O31" s="50">
        <f>'Cenove indexy'!O43</f>
        <v>3</v>
      </c>
    </row>
    <row r="32" spans="2:15" ht="12.75">
      <c r="B32" s="56">
        <v>18</v>
      </c>
      <c r="C32" s="47" t="s">
        <v>13</v>
      </c>
      <c r="D32" s="48"/>
      <c r="E32" s="57">
        <f t="shared" si="2"/>
        <v>1</v>
      </c>
      <c r="F32" s="57">
        <f t="shared" si="1"/>
        <v>0</v>
      </c>
      <c r="G32" s="57">
        <f t="shared" si="1"/>
        <v>0</v>
      </c>
      <c r="H32" s="57">
        <f t="shared" si="1"/>
        <v>0</v>
      </c>
      <c r="I32" s="57">
        <f t="shared" si="1"/>
        <v>0</v>
      </c>
      <c r="J32" s="57">
        <f t="shared" si="1"/>
        <v>0</v>
      </c>
      <c r="K32" s="57">
        <f t="shared" si="1"/>
        <v>0</v>
      </c>
      <c r="L32" s="57">
        <f t="shared" si="1"/>
        <v>0</v>
      </c>
      <c r="M32" s="57">
        <f t="shared" si="1"/>
        <v>0</v>
      </c>
      <c r="N32" s="57">
        <f t="shared" si="1"/>
        <v>0</v>
      </c>
      <c r="O32" s="50">
        <f>'Cenove indexy'!O44</f>
        <v>2</v>
      </c>
    </row>
    <row r="33" spans="2:15" ht="12.75">
      <c r="B33" s="56">
        <v>19</v>
      </c>
      <c r="C33" s="47" t="s">
        <v>14</v>
      </c>
      <c r="D33" s="48"/>
      <c r="E33" s="57">
        <f t="shared" si="2"/>
        <v>1</v>
      </c>
      <c r="F33" s="57">
        <f t="shared" si="1"/>
        <v>0</v>
      </c>
      <c r="G33" s="57">
        <f t="shared" si="1"/>
        <v>0</v>
      </c>
      <c r="H33" s="57">
        <f t="shared" si="1"/>
        <v>0</v>
      </c>
      <c r="I33" s="57">
        <f t="shared" si="1"/>
        <v>0</v>
      </c>
      <c r="J33" s="57">
        <f t="shared" si="1"/>
        <v>0</v>
      </c>
      <c r="K33" s="57">
        <f t="shared" si="1"/>
        <v>0</v>
      </c>
      <c r="L33" s="57">
        <f t="shared" si="1"/>
        <v>0</v>
      </c>
      <c r="M33" s="57">
        <f t="shared" si="1"/>
        <v>0</v>
      </c>
      <c r="N33" s="57">
        <f t="shared" si="1"/>
        <v>0</v>
      </c>
      <c r="O33" s="50">
        <f>'Cenove indexy'!O45</f>
        <v>2</v>
      </c>
    </row>
    <row r="34" spans="2:15" ht="12.75">
      <c r="B34" s="56">
        <v>20</v>
      </c>
      <c r="C34" s="47" t="s">
        <v>15</v>
      </c>
      <c r="D34" s="48"/>
      <c r="E34" s="57">
        <f t="shared" si="2"/>
        <v>1</v>
      </c>
      <c r="F34" s="57">
        <f t="shared" si="1"/>
        <v>0</v>
      </c>
      <c r="G34" s="57">
        <f t="shared" si="1"/>
        <v>0</v>
      </c>
      <c r="H34" s="57">
        <f t="shared" si="1"/>
        <v>0</v>
      </c>
      <c r="I34" s="57">
        <f t="shared" si="1"/>
        <v>0</v>
      </c>
      <c r="J34" s="57">
        <f t="shared" si="1"/>
        <v>0</v>
      </c>
      <c r="K34" s="57">
        <f t="shared" si="1"/>
        <v>0</v>
      </c>
      <c r="L34" s="57">
        <f t="shared" si="1"/>
        <v>0</v>
      </c>
      <c r="M34" s="57">
        <f t="shared" si="1"/>
        <v>0</v>
      </c>
      <c r="N34" s="57">
        <f t="shared" si="1"/>
        <v>0</v>
      </c>
      <c r="O34" s="50">
        <f>'Cenove indexy'!O46</f>
        <v>9</v>
      </c>
    </row>
    <row r="35" spans="2:15" ht="12.75">
      <c r="B35" s="56">
        <v>21</v>
      </c>
      <c r="C35" s="47" t="s">
        <v>16</v>
      </c>
      <c r="D35" s="48"/>
      <c r="E35" s="57">
        <f t="shared" si="2"/>
        <v>1</v>
      </c>
      <c r="F35" s="57">
        <f t="shared" si="1"/>
        <v>0</v>
      </c>
      <c r="G35" s="57">
        <f t="shared" si="1"/>
        <v>0</v>
      </c>
      <c r="H35" s="57">
        <f t="shared" si="1"/>
        <v>0</v>
      </c>
      <c r="I35" s="57">
        <f t="shared" si="1"/>
        <v>0</v>
      </c>
      <c r="J35" s="57">
        <f t="shared" si="1"/>
        <v>0</v>
      </c>
      <c r="K35" s="57">
        <f t="shared" si="1"/>
        <v>0</v>
      </c>
      <c r="L35" s="57">
        <f t="shared" si="1"/>
        <v>0</v>
      </c>
      <c r="M35" s="57">
        <f t="shared" si="1"/>
        <v>0</v>
      </c>
      <c r="N35" s="57">
        <f t="shared" si="1"/>
        <v>0</v>
      </c>
      <c r="O35" s="50">
        <f>'Cenove indexy'!O47</f>
        <v>7</v>
      </c>
    </row>
    <row r="36" spans="2:15" ht="12.75">
      <c r="B36" s="56">
        <v>22</v>
      </c>
      <c r="C36" s="47" t="s">
        <v>17</v>
      </c>
      <c r="D36" s="48"/>
      <c r="E36" s="57">
        <f t="shared" si="2"/>
        <v>1</v>
      </c>
      <c r="F36" s="57">
        <f t="shared" si="2"/>
        <v>0</v>
      </c>
      <c r="G36" s="57">
        <f t="shared" si="2"/>
        <v>0</v>
      </c>
      <c r="H36" s="57">
        <f t="shared" si="2"/>
        <v>0</v>
      </c>
      <c r="I36" s="57">
        <f t="shared" si="2"/>
        <v>0</v>
      </c>
      <c r="J36" s="57">
        <f t="shared" si="2"/>
        <v>0</v>
      </c>
      <c r="K36" s="57">
        <f t="shared" si="2"/>
        <v>0</v>
      </c>
      <c r="L36" s="57">
        <f t="shared" si="2"/>
        <v>0</v>
      </c>
      <c r="M36" s="57">
        <f t="shared" si="2"/>
        <v>0</v>
      </c>
      <c r="N36" s="57">
        <f t="shared" si="2"/>
        <v>0</v>
      </c>
      <c r="O36" s="50">
        <f>'Cenove indexy'!O48</f>
        <v>2</v>
      </c>
    </row>
    <row r="37" spans="2:15" ht="12.75">
      <c r="B37" s="56">
        <v>23</v>
      </c>
      <c r="C37" s="47" t="s">
        <v>18</v>
      </c>
      <c r="D37" s="48"/>
      <c r="E37" s="57">
        <f t="shared" si="2"/>
        <v>1</v>
      </c>
      <c r="F37" s="57">
        <f t="shared" si="2"/>
        <v>0</v>
      </c>
      <c r="G37" s="57">
        <f t="shared" si="2"/>
        <v>0</v>
      </c>
      <c r="H37" s="57">
        <f t="shared" si="2"/>
        <v>0</v>
      </c>
      <c r="I37" s="57">
        <f t="shared" si="2"/>
        <v>0</v>
      </c>
      <c r="J37" s="57">
        <f t="shared" si="2"/>
        <v>0</v>
      </c>
      <c r="K37" s="57">
        <f t="shared" si="2"/>
        <v>0</v>
      </c>
      <c r="L37" s="57">
        <f t="shared" si="2"/>
        <v>0</v>
      </c>
      <c r="M37" s="57">
        <f t="shared" si="2"/>
        <v>0</v>
      </c>
      <c r="N37" s="57">
        <f t="shared" si="2"/>
        <v>0</v>
      </c>
      <c r="O37" s="50">
        <f>'Cenove indexy'!O49</f>
        <v>2</v>
      </c>
    </row>
    <row r="38" spans="2:15" ht="12.75">
      <c r="B38" s="56">
        <v>24</v>
      </c>
      <c r="C38" s="47" t="s">
        <v>19</v>
      </c>
      <c r="D38" s="48"/>
      <c r="E38" s="57">
        <f t="shared" si="2"/>
        <v>1</v>
      </c>
      <c r="F38" s="57">
        <f t="shared" si="2"/>
        <v>0</v>
      </c>
      <c r="G38" s="57">
        <f t="shared" si="2"/>
        <v>0</v>
      </c>
      <c r="H38" s="57">
        <f t="shared" si="2"/>
        <v>0</v>
      </c>
      <c r="I38" s="57">
        <f t="shared" si="2"/>
        <v>0</v>
      </c>
      <c r="J38" s="57">
        <f t="shared" si="2"/>
        <v>0</v>
      </c>
      <c r="K38" s="57">
        <f t="shared" si="2"/>
        <v>0</v>
      </c>
      <c r="L38" s="57">
        <f t="shared" si="2"/>
        <v>0</v>
      </c>
      <c r="M38" s="57">
        <f t="shared" si="2"/>
        <v>0</v>
      </c>
      <c r="N38" s="57">
        <f t="shared" si="2"/>
        <v>0</v>
      </c>
      <c r="O38" s="50">
        <f>'Cenove indexy'!O50</f>
        <v>2</v>
      </c>
    </row>
    <row r="39" spans="2:15" ht="12.75">
      <c r="B39" s="56">
        <v>25</v>
      </c>
      <c r="C39" s="47" t="s">
        <v>20</v>
      </c>
      <c r="D39" s="48"/>
      <c r="E39" s="57">
        <f t="shared" si="2"/>
        <v>1</v>
      </c>
      <c r="F39" s="57">
        <f t="shared" si="2"/>
        <v>0</v>
      </c>
      <c r="G39" s="57">
        <f t="shared" si="2"/>
        <v>0</v>
      </c>
      <c r="H39" s="57">
        <f t="shared" si="2"/>
        <v>0</v>
      </c>
      <c r="I39" s="57">
        <f t="shared" si="2"/>
        <v>0</v>
      </c>
      <c r="J39" s="57">
        <f t="shared" si="2"/>
        <v>0</v>
      </c>
      <c r="K39" s="57">
        <f t="shared" si="2"/>
        <v>0</v>
      </c>
      <c r="L39" s="57">
        <f t="shared" si="2"/>
        <v>0</v>
      </c>
      <c r="M39" s="57">
        <f t="shared" si="2"/>
        <v>0</v>
      </c>
      <c r="N39" s="57">
        <f t="shared" si="2"/>
        <v>0</v>
      </c>
      <c r="O39" s="50">
        <f>'Cenove indexy'!O51</f>
        <v>2</v>
      </c>
    </row>
    <row r="40" spans="2:14" ht="12.75" customHeight="1" hidden="1">
      <c r="B40" s="56"/>
      <c r="C40" s="47"/>
      <c r="D40" s="48"/>
      <c r="E40" s="57"/>
      <c r="F40" s="57"/>
      <c r="G40" s="57"/>
      <c r="H40" s="57"/>
      <c r="I40" s="57"/>
      <c r="J40" s="57"/>
      <c r="K40" s="57"/>
      <c r="L40" s="57"/>
      <c r="M40" s="57"/>
      <c r="N40" s="57"/>
    </row>
    <row r="41" spans="2:15" ht="12.75">
      <c r="B41" s="56">
        <v>97</v>
      </c>
      <c r="C41" s="47" t="s">
        <v>84</v>
      </c>
      <c r="D41" s="48"/>
      <c r="E41" s="57">
        <f t="shared" si="2"/>
        <v>1</v>
      </c>
      <c r="F41" s="57">
        <f t="shared" si="2"/>
        <v>0</v>
      </c>
      <c r="G41" s="57">
        <f t="shared" si="2"/>
        <v>0</v>
      </c>
      <c r="H41" s="57">
        <f t="shared" si="2"/>
        <v>0</v>
      </c>
      <c r="I41" s="57">
        <f t="shared" si="2"/>
        <v>0</v>
      </c>
      <c r="J41" s="57">
        <f t="shared" si="2"/>
        <v>0</v>
      </c>
      <c r="K41" s="57">
        <f t="shared" si="2"/>
        <v>0</v>
      </c>
      <c r="L41" s="57">
        <f t="shared" si="2"/>
        <v>0</v>
      </c>
      <c r="M41" s="57">
        <f t="shared" si="2"/>
        <v>0</v>
      </c>
      <c r="N41" s="57">
        <f t="shared" si="2"/>
        <v>0</v>
      </c>
      <c r="O41" s="50">
        <f>'Cenove indexy'!O52</f>
        <v>2</v>
      </c>
    </row>
    <row r="42" spans="2:15" ht="12.75">
      <c r="B42" s="56">
        <v>98</v>
      </c>
      <c r="C42" s="47" t="s">
        <v>44</v>
      </c>
      <c r="D42" s="48"/>
      <c r="E42" s="57">
        <f t="shared" si="2"/>
        <v>1</v>
      </c>
      <c r="F42" s="57">
        <f t="shared" si="2"/>
        <v>0</v>
      </c>
      <c r="G42" s="57">
        <f t="shared" si="2"/>
        <v>0</v>
      </c>
      <c r="H42" s="57">
        <f t="shared" si="2"/>
        <v>0</v>
      </c>
      <c r="I42" s="57">
        <f t="shared" si="2"/>
        <v>0</v>
      </c>
      <c r="J42" s="57">
        <f t="shared" si="2"/>
        <v>0</v>
      </c>
      <c r="K42" s="57">
        <f t="shared" si="2"/>
        <v>0</v>
      </c>
      <c r="L42" s="57">
        <f t="shared" si="2"/>
        <v>0</v>
      </c>
      <c r="M42" s="57">
        <f t="shared" si="2"/>
        <v>0</v>
      </c>
      <c r="N42" s="57">
        <f t="shared" si="2"/>
        <v>0</v>
      </c>
      <c r="O42" s="50">
        <f>'Cenove indexy'!O53</f>
        <v>2</v>
      </c>
    </row>
    <row r="43" spans="2:15" ht="12.75">
      <c r="B43" s="56">
        <v>99</v>
      </c>
      <c r="C43" s="47" t="s">
        <v>226</v>
      </c>
      <c r="D43" s="48"/>
      <c r="E43" s="57">
        <f t="shared" si="2"/>
        <v>1</v>
      </c>
      <c r="F43" s="57">
        <f t="shared" si="2"/>
        <v>0</v>
      </c>
      <c r="G43" s="57">
        <f t="shared" si="2"/>
        <v>0</v>
      </c>
      <c r="H43" s="57">
        <f t="shared" si="2"/>
        <v>0</v>
      </c>
      <c r="I43" s="57">
        <f t="shared" si="2"/>
        <v>0</v>
      </c>
      <c r="J43" s="57">
        <f t="shared" si="2"/>
        <v>0</v>
      </c>
      <c r="K43" s="57">
        <f t="shared" si="2"/>
        <v>0</v>
      </c>
      <c r="L43" s="57">
        <f t="shared" si="2"/>
        <v>0</v>
      </c>
      <c r="M43" s="57">
        <f t="shared" si="2"/>
        <v>0</v>
      </c>
      <c r="N43" s="57">
        <f t="shared" si="2"/>
        <v>0</v>
      </c>
      <c r="O43" s="50">
        <f>'Cenove indexy'!O54</f>
        <v>8</v>
      </c>
    </row>
    <row r="44" ht="12.75" customHeight="1"/>
    <row r="45" ht="12.75" hidden="1">
      <c r="B45" s="11" t="s">
        <v>89</v>
      </c>
    </row>
    <row r="46" ht="12.75" customHeight="1" hidden="1"/>
    <row r="47" spans="2:14" ht="12.75" hidden="1">
      <c r="B47" s="53" t="s">
        <v>35</v>
      </c>
      <c r="C47" s="53" t="s">
        <v>65</v>
      </c>
      <c r="D47" s="54"/>
      <c r="E47" s="22">
        <f>VR</f>
        <v>1</v>
      </c>
      <c r="F47" s="58">
        <f aca="true" t="shared" si="3" ref="F47:N47">E47+1</f>
        <v>2</v>
      </c>
      <c r="G47" s="58">
        <f t="shared" si="3"/>
        <v>3</v>
      </c>
      <c r="H47" s="58">
        <f t="shared" si="3"/>
        <v>4</v>
      </c>
      <c r="I47" s="58">
        <f t="shared" si="3"/>
        <v>5</v>
      </c>
      <c r="J47" s="58">
        <f t="shared" si="3"/>
        <v>6</v>
      </c>
      <c r="K47" s="58">
        <f t="shared" si="3"/>
        <v>7</v>
      </c>
      <c r="L47" s="58">
        <f t="shared" si="3"/>
        <v>8</v>
      </c>
      <c r="M47" s="58">
        <f t="shared" si="3"/>
        <v>9</v>
      </c>
      <c r="N47" s="58">
        <f t="shared" si="3"/>
        <v>10</v>
      </c>
    </row>
    <row r="48" spans="2:14" ht="12.75" hidden="1">
      <c r="B48" s="56" t="s">
        <v>22</v>
      </c>
      <c r="C48" s="47" t="s">
        <v>56</v>
      </c>
      <c r="D48" s="48"/>
      <c r="E48" s="59">
        <f>'Cenova nabidka NAFTA'!$L7*E19</f>
        <v>0</v>
      </c>
      <c r="F48" s="59">
        <f>'Cenova nabidka NAFTA'!$L7*F19</f>
        <v>0</v>
      </c>
      <c r="G48" s="59">
        <f>'Cenova nabidka NAFTA'!$L7*G19</f>
        <v>0</v>
      </c>
      <c r="H48" s="59">
        <f>'Cenova nabidka NAFTA'!$L7*H19</f>
        <v>0</v>
      </c>
      <c r="I48" s="59">
        <f>'Cenova nabidka NAFTA'!$L7*I19</f>
        <v>0</v>
      </c>
      <c r="J48" s="59">
        <f>'Cenova nabidka NAFTA'!$L7*J19</f>
        <v>0</v>
      </c>
      <c r="K48" s="59">
        <f>'Cenova nabidka NAFTA'!$L7*K19</f>
        <v>0</v>
      </c>
      <c r="L48" s="59">
        <f>'Cenova nabidka NAFTA'!$L7*L19</f>
        <v>0</v>
      </c>
      <c r="M48" s="59">
        <f>'Cenova nabidka NAFTA'!$L7*M19</f>
        <v>0</v>
      </c>
      <c r="N48" s="59">
        <f>'Cenova nabidka NAFTA'!$L7*N19</f>
        <v>0</v>
      </c>
    </row>
    <row r="49" spans="2:14" ht="12.75" hidden="1">
      <c r="B49" s="56" t="s">
        <v>23</v>
      </c>
      <c r="C49" s="47" t="s">
        <v>57</v>
      </c>
      <c r="D49" s="48"/>
      <c r="E49" s="59">
        <f>'Cenova nabidka NAFTA'!$L8*E20</f>
        <v>0</v>
      </c>
      <c r="F49" s="59">
        <f>'Cenova nabidka NAFTA'!$L8*F20</f>
        <v>0</v>
      </c>
      <c r="G49" s="59">
        <f>'Cenova nabidka NAFTA'!$L8*G20</f>
        <v>0</v>
      </c>
      <c r="H49" s="59">
        <f>'Cenova nabidka NAFTA'!$L8*H20</f>
        <v>0</v>
      </c>
      <c r="I49" s="59">
        <f>'Cenova nabidka NAFTA'!$L8*I20</f>
        <v>0</v>
      </c>
      <c r="J49" s="59">
        <f>'Cenova nabidka NAFTA'!$L8*J20</f>
        <v>0</v>
      </c>
      <c r="K49" s="59">
        <f>'Cenova nabidka NAFTA'!$L8*K20</f>
        <v>0</v>
      </c>
      <c r="L49" s="59">
        <f>'Cenova nabidka NAFTA'!$L8*L20</f>
        <v>0</v>
      </c>
      <c r="M49" s="59">
        <f>'Cenova nabidka NAFTA'!$L8*M20</f>
        <v>0</v>
      </c>
      <c r="N49" s="59">
        <f>'Cenova nabidka NAFTA'!$L8*N20</f>
        <v>0</v>
      </c>
    </row>
    <row r="50" spans="2:14" ht="12.75" hidden="1">
      <c r="B50" s="56" t="s">
        <v>24</v>
      </c>
      <c r="C50" s="47" t="s">
        <v>58</v>
      </c>
      <c r="D50" s="48"/>
      <c r="E50" s="59">
        <f>'Cenova nabidka NAFTA'!$L9*E21</f>
        <v>0</v>
      </c>
      <c r="F50" s="59">
        <f>'Cenova nabidka NAFTA'!$L9*F21</f>
        <v>0</v>
      </c>
      <c r="G50" s="59">
        <f>'Cenova nabidka NAFTA'!$L9*G21</f>
        <v>0</v>
      </c>
      <c r="H50" s="59">
        <f>'Cenova nabidka NAFTA'!$L9*H21</f>
        <v>0</v>
      </c>
      <c r="I50" s="59">
        <f>'Cenova nabidka NAFTA'!$L9*I21</f>
        <v>0</v>
      </c>
      <c r="J50" s="59">
        <f>'Cenova nabidka NAFTA'!$L9*J21</f>
        <v>0</v>
      </c>
      <c r="K50" s="59">
        <f>'Cenova nabidka NAFTA'!$L9*K21</f>
        <v>0</v>
      </c>
      <c r="L50" s="59">
        <f>'Cenova nabidka NAFTA'!$L9*L21</f>
        <v>0</v>
      </c>
      <c r="M50" s="59">
        <f>'Cenova nabidka NAFTA'!$L9*M21</f>
        <v>0</v>
      </c>
      <c r="N50" s="59">
        <f>'Cenova nabidka NAFTA'!$L9*N21</f>
        <v>0</v>
      </c>
    </row>
    <row r="51" spans="2:14" ht="12.75" hidden="1">
      <c r="B51" s="56">
        <v>12</v>
      </c>
      <c r="C51" s="47" t="s">
        <v>8</v>
      </c>
      <c r="D51" s="48"/>
      <c r="E51" s="59">
        <f>'Cenova nabidka NAFTA'!$L11*E23</f>
        <v>0</v>
      </c>
      <c r="F51" s="59">
        <f>'Cenova nabidka NAFTA'!$L11*F23</f>
        <v>0</v>
      </c>
      <c r="G51" s="59">
        <f>'Cenova nabidka NAFTA'!$L11*G23</f>
        <v>0</v>
      </c>
      <c r="H51" s="59">
        <f>'Cenova nabidka NAFTA'!$L11*H23</f>
        <v>0</v>
      </c>
      <c r="I51" s="59">
        <f>'Cenova nabidka NAFTA'!$L11*I23</f>
        <v>0</v>
      </c>
      <c r="J51" s="59">
        <f>'Cenova nabidka NAFTA'!$L11*J23</f>
        <v>0</v>
      </c>
      <c r="K51" s="59">
        <f>'Cenova nabidka NAFTA'!$L11*K23</f>
        <v>0</v>
      </c>
      <c r="L51" s="59">
        <f>'Cenova nabidka NAFTA'!$L11*L23</f>
        <v>0</v>
      </c>
      <c r="M51" s="59">
        <f>'Cenova nabidka NAFTA'!$L11*M23</f>
        <v>0</v>
      </c>
      <c r="N51" s="59">
        <f>'Cenova nabidka NAFTA'!$L11*N23</f>
        <v>0</v>
      </c>
    </row>
    <row r="52" spans="2:14" ht="12.75" hidden="1">
      <c r="B52" s="56">
        <v>13</v>
      </c>
      <c r="C52" s="47" t="s">
        <v>9</v>
      </c>
      <c r="D52" s="48"/>
      <c r="E52" s="59">
        <f>'Cenova nabidka NAFTA'!$L12*E24</f>
        <v>0</v>
      </c>
      <c r="F52" s="59">
        <f>'Cenova nabidka NAFTA'!$L12*F24</f>
        <v>0</v>
      </c>
      <c r="G52" s="59">
        <f>'Cenova nabidka NAFTA'!$L12*G24</f>
        <v>0</v>
      </c>
      <c r="H52" s="59">
        <f>'Cenova nabidka NAFTA'!$L12*H24</f>
        <v>0</v>
      </c>
      <c r="I52" s="59">
        <f>'Cenova nabidka NAFTA'!$L12*I24</f>
        <v>0</v>
      </c>
      <c r="J52" s="59">
        <f>'Cenova nabidka NAFTA'!$L12*J24</f>
        <v>0</v>
      </c>
      <c r="K52" s="59">
        <f>'Cenova nabidka NAFTA'!$L12*K24</f>
        <v>0</v>
      </c>
      <c r="L52" s="59">
        <f>'Cenova nabidka NAFTA'!$L12*L24</f>
        <v>0</v>
      </c>
      <c r="M52" s="59">
        <f>'Cenova nabidka NAFTA'!$L12*M24</f>
        <v>0</v>
      </c>
      <c r="N52" s="59">
        <f>'Cenova nabidka NAFTA'!$L12*N24</f>
        <v>0</v>
      </c>
    </row>
    <row r="53" spans="2:14" ht="12.75" hidden="1">
      <c r="B53" s="56" t="s">
        <v>28</v>
      </c>
      <c r="C53" s="47" t="s">
        <v>59</v>
      </c>
      <c r="D53" s="48"/>
      <c r="E53" s="59">
        <f>'Cenova nabidka NAFTA'!$L13*E25</f>
        <v>0</v>
      </c>
      <c r="F53" s="59">
        <f>'Cenova nabidka NAFTA'!$L13*F25</f>
        <v>0</v>
      </c>
      <c r="G53" s="59">
        <f>'Cenova nabidka NAFTA'!$L13*G25</f>
        <v>0</v>
      </c>
      <c r="H53" s="59">
        <f>'Cenova nabidka NAFTA'!$L13*H25</f>
        <v>0</v>
      </c>
      <c r="I53" s="59">
        <f>'Cenova nabidka NAFTA'!$L13*I25</f>
        <v>0</v>
      </c>
      <c r="J53" s="59">
        <f>'Cenova nabidka NAFTA'!$L13*J25</f>
        <v>0</v>
      </c>
      <c r="K53" s="59">
        <f>'Cenova nabidka NAFTA'!$L13*K25</f>
        <v>0</v>
      </c>
      <c r="L53" s="59">
        <f>'Cenova nabidka NAFTA'!$L13*L25</f>
        <v>0</v>
      </c>
      <c r="M53" s="59">
        <f>'Cenova nabidka NAFTA'!$L13*M25</f>
        <v>0</v>
      </c>
      <c r="N53" s="59">
        <f>'Cenova nabidka NAFTA'!$L13*N25</f>
        <v>0</v>
      </c>
    </row>
    <row r="54" spans="2:14" ht="12.75" hidden="1">
      <c r="B54" s="56" t="s">
        <v>29</v>
      </c>
      <c r="C54" s="47" t="s">
        <v>60</v>
      </c>
      <c r="D54" s="48"/>
      <c r="E54" s="59">
        <f>'Cenova nabidka NAFTA'!$L14*E26</f>
        <v>0</v>
      </c>
      <c r="F54" s="59">
        <f>'Cenova nabidka NAFTA'!$L14*F26</f>
        <v>0</v>
      </c>
      <c r="G54" s="59">
        <f>'Cenova nabidka NAFTA'!$L14*G26</f>
        <v>0</v>
      </c>
      <c r="H54" s="59">
        <f>'Cenova nabidka NAFTA'!$L14*H26</f>
        <v>0</v>
      </c>
      <c r="I54" s="59">
        <f>'Cenova nabidka NAFTA'!$L14*I26</f>
        <v>0</v>
      </c>
      <c r="J54" s="59">
        <f>'Cenova nabidka NAFTA'!$L14*J26</f>
        <v>0</v>
      </c>
      <c r="K54" s="59">
        <f>'Cenova nabidka NAFTA'!$L14*K26</f>
        <v>0</v>
      </c>
      <c r="L54" s="59">
        <f>'Cenova nabidka NAFTA'!$L14*L26</f>
        <v>0</v>
      </c>
      <c r="M54" s="59">
        <f>'Cenova nabidka NAFTA'!$L14*M26</f>
        <v>0</v>
      </c>
      <c r="N54" s="59">
        <f>'Cenova nabidka NAFTA'!$L14*N26</f>
        <v>0</v>
      </c>
    </row>
    <row r="55" spans="2:14" ht="12.75" hidden="1">
      <c r="B55" s="56">
        <v>15</v>
      </c>
      <c r="C55" s="47" t="s">
        <v>42</v>
      </c>
      <c r="D55" s="48"/>
      <c r="E55" s="59">
        <f>'Cenova nabidka NAFTA'!$L15*E27</f>
        <v>0</v>
      </c>
      <c r="F55" s="59">
        <f>'Cenova nabidka NAFTA'!$L15*F27</f>
        <v>0</v>
      </c>
      <c r="G55" s="59">
        <f>'Cenova nabidka NAFTA'!$L15*G27</f>
        <v>0</v>
      </c>
      <c r="H55" s="59">
        <f>'Cenova nabidka NAFTA'!$L15*H27</f>
        <v>0</v>
      </c>
      <c r="I55" s="59">
        <f>'Cenova nabidka NAFTA'!$L15*I27</f>
        <v>0</v>
      </c>
      <c r="J55" s="59">
        <f>'Cenova nabidka NAFTA'!$L15*J27</f>
        <v>0</v>
      </c>
      <c r="K55" s="59">
        <f>'Cenova nabidka NAFTA'!$L15*K27</f>
        <v>0</v>
      </c>
      <c r="L55" s="59">
        <f>'Cenova nabidka NAFTA'!$L15*L27</f>
        <v>0</v>
      </c>
      <c r="M55" s="59">
        <f>'Cenova nabidka NAFTA'!$L15*M27</f>
        <v>0</v>
      </c>
      <c r="N55" s="59">
        <f>'Cenova nabidka NAFTA'!$L15*N27</f>
        <v>0</v>
      </c>
    </row>
    <row r="56" spans="2:14" ht="12.75" hidden="1">
      <c r="B56" s="56" t="s">
        <v>30</v>
      </c>
      <c r="C56" s="47" t="s">
        <v>61</v>
      </c>
      <c r="D56" s="48"/>
      <c r="E56" s="59">
        <f>'Cenova nabidka NAFTA'!$L16*E28</f>
        <v>0</v>
      </c>
      <c r="F56" s="59">
        <f>'Cenova nabidka NAFTA'!$L16*F28</f>
        <v>0</v>
      </c>
      <c r="G56" s="59">
        <f>'Cenova nabidka NAFTA'!$L16*G28</f>
        <v>0</v>
      </c>
      <c r="H56" s="59">
        <f>'Cenova nabidka NAFTA'!$L16*H28</f>
        <v>0</v>
      </c>
      <c r="I56" s="59">
        <f>'Cenova nabidka NAFTA'!$L16*I28</f>
        <v>0</v>
      </c>
      <c r="J56" s="59">
        <f>'Cenova nabidka NAFTA'!$L16*J28</f>
        <v>0</v>
      </c>
      <c r="K56" s="59">
        <f>'Cenova nabidka NAFTA'!$L16*K28</f>
        <v>0</v>
      </c>
      <c r="L56" s="59">
        <f>'Cenova nabidka NAFTA'!$L16*L28</f>
        <v>0</v>
      </c>
      <c r="M56" s="59">
        <f>'Cenova nabidka NAFTA'!$L16*M28</f>
        <v>0</v>
      </c>
      <c r="N56" s="59">
        <f>'Cenova nabidka NAFTA'!$L16*N28</f>
        <v>0</v>
      </c>
    </row>
    <row r="57" spans="2:14" ht="12.75" hidden="1">
      <c r="B57" s="56" t="s">
        <v>31</v>
      </c>
      <c r="C57" s="47" t="s">
        <v>62</v>
      </c>
      <c r="D57" s="48"/>
      <c r="E57" s="59">
        <f>'Cenova nabidka NAFTA'!$L17*E29</f>
        <v>0</v>
      </c>
      <c r="F57" s="59">
        <f>'Cenova nabidka NAFTA'!$L17*F29</f>
        <v>0</v>
      </c>
      <c r="G57" s="59">
        <f>'Cenova nabidka NAFTA'!$L17*G29</f>
        <v>0</v>
      </c>
      <c r="H57" s="59">
        <f>'Cenova nabidka NAFTA'!$L17*H29</f>
        <v>0</v>
      </c>
      <c r="I57" s="59">
        <f>'Cenova nabidka NAFTA'!$L17*I29</f>
        <v>0</v>
      </c>
      <c r="J57" s="59">
        <f>'Cenova nabidka NAFTA'!$L17*J29</f>
        <v>0</v>
      </c>
      <c r="K57" s="59">
        <f>'Cenova nabidka NAFTA'!$L17*K29</f>
        <v>0</v>
      </c>
      <c r="L57" s="59">
        <f>'Cenova nabidka NAFTA'!$L17*L29</f>
        <v>0</v>
      </c>
      <c r="M57" s="59">
        <f>'Cenova nabidka NAFTA'!$L17*M29</f>
        <v>0</v>
      </c>
      <c r="N57" s="59">
        <f>'Cenova nabidka NAFTA'!$L17*N29</f>
        <v>0</v>
      </c>
    </row>
    <row r="58" spans="2:14" ht="12.75" hidden="1">
      <c r="B58" s="56" t="s">
        <v>40</v>
      </c>
      <c r="C58" s="47" t="s">
        <v>63</v>
      </c>
      <c r="D58" s="48"/>
      <c r="E58" s="59">
        <f>'Cenova nabidka NAFTA'!$L18*E30</f>
        <v>0</v>
      </c>
      <c r="F58" s="59">
        <f>'Cenova nabidka NAFTA'!$L18*F30</f>
        <v>0</v>
      </c>
      <c r="G58" s="59">
        <f>'Cenova nabidka NAFTA'!$L18*G30</f>
        <v>0</v>
      </c>
      <c r="H58" s="59">
        <f>'Cenova nabidka NAFTA'!$L18*H30</f>
        <v>0</v>
      </c>
      <c r="I58" s="59">
        <f>'Cenova nabidka NAFTA'!$L18*I30</f>
        <v>0</v>
      </c>
      <c r="J58" s="59">
        <f>'Cenova nabidka NAFTA'!$L18*J30</f>
        <v>0</v>
      </c>
      <c r="K58" s="59">
        <f>'Cenova nabidka NAFTA'!$L18*K30</f>
        <v>0</v>
      </c>
      <c r="L58" s="59">
        <f>'Cenova nabidka NAFTA'!$L18*L30</f>
        <v>0</v>
      </c>
      <c r="M58" s="59">
        <f>'Cenova nabidka NAFTA'!$L18*M30</f>
        <v>0</v>
      </c>
      <c r="N58" s="59">
        <f>'Cenova nabidka NAFTA'!$L18*N30</f>
        <v>0</v>
      </c>
    </row>
    <row r="59" spans="2:14" ht="12.75" hidden="1">
      <c r="B59" s="56" t="s">
        <v>41</v>
      </c>
      <c r="C59" s="47" t="s">
        <v>64</v>
      </c>
      <c r="D59" s="48"/>
      <c r="E59" s="59">
        <f>'Cenova nabidka NAFTA'!$L19*E31</f>
        <v>0</v>
      </c>
      <c r="F59" s="59">
        <f>'Cenova nabidka NAFTA'!$L19*F31</f>
        <v>0</v>
      </c>
      <c r="G59" s="59">
        <f>'Cenova nabidka NAFTA'!$L19*G31</f>
        <v>0</v>
      </c>
      <c r="H59" s="59">
        <f>'Cenova nabidka NAFTA'!$L19*H31</f>
        <v>0</v>
      </c>
      <c r="I59" s="59">
        <f>'Cenova nabidka NAFTA'!$L19*I31</f>
        <v>0</v>
      </c>
      <c r="J59" s="59">
        <f>'Cenova nabidka NAFTA'!$L19*J31</f>
        <v>0</v>
      </c>
      <c r="K59" s="59">
        <f>'Cenova nabidka NAFTA'!$L19*K31</f>
        <v>0</v>
      </c>
      <c r="L59" s="59">
        <f>'Cenova nabidka NAFTA'!$L19*L31</f>
        <v>0</v>
      </c>
      <c r="M59" s="59">
        <f>'Cenova nabidka NAFTA'!$L19*M31</f>
        <v>0</v>
      </c>
      <c r="N59" s="59">
        <f>'Cenova nabidka NAFTA'!$L19*N31</f>
        <v>0</v>
      </c>
    </row>
    <row r="60" spans="2:14" ht="12.75" hidden="1">
      <c r="B60" s="56">
        <v>18</v>
      </c>
      <c r="C60" s="47" t="s">
        <v>13</v>
      </c>
      <c r="D60" s="48"/>
      <c r="E60" s="59">
        <f>'Cenova nabidka NAFTA'!$L20*E32</f>
        <v>0</v>
      </c>
      <c r="F60" s="59">
        <f>'Cenova nabidka NAFTA'!$L20*F32</f>
        <v>0</v>
      </c>
      <c r="G60" s="59">
        <f>'Cenova nabidka NAFTA'!$L20*G32</f>
        <v>0</v>
      </c>
      <c r="H60" s="59">
        <f>'Cenova nabidka NAFTA'!$L20*H32</f>
        <v>0</v>
      </c>
      <c r="I60" s="59">
        <f>'Cenova nabidka NAFTA'!$L20*I32</f>
        <v>0</v>
      </c>
      <c r="J60" s="59">
        <f>'Cenova nabidka NAFTA'!$L20*J32</f>
        <v>0</v>
      </c>
      <c r="K60" s="59">
        <f>'Cenova nabidka NAFTA'!$L20*K32</f>
        <v>0</v>
      </c>
      <c r="L60" s="59">
        <f>'Cenova nabidka NAFTA'!$L20*L32</f>
        <v>0</v>
      </c>
      <c r="M60" s="59">
        <f>'Cenova nabidka NAFTA'!$L20*M32</f>
        <v>0</v>
      </c>
      <c r="N60" s="59">
        <f>'Cenova nabidka NAFTA'!$L20*N32</f>
        <v>0</v>
      </c>
    </row>
    <row r="61" spans="2:14" ht="12.75" hidden="1">
      <c r="B61" s="56">
        <v>19</v>
      </c>
      <c r="C61" s="47" t="s">
        <v>14</v>
      </c>
      <c r="D61" s="48"/>
      <c r="E61" s="59">
        <f>'Cenova nabidka NAFTA'!$L21*E33</f>
        <v>0</v>
      </c>
      <c r="F61" s="59">
        <f>'Cenova nabidka NAFTA'!$L21*F33</f>
        <v>0</v>
      </c>
      <c r="G61" s="59">
        <f>'Cenova nabidka NAFTA'!$L21*G33</f>
        <v>0</v>
      </c>
      <c r="H61" s="59">
        <f>'Cenova nabidka NAFTA'!$L21*H33</f>
        <v>0</v>
      </c>
      <c r="I61" s="59">
        <f>'Cenova nabidka NAFTA'!$L21*I33</f>
        <v>0</v>
      </c>
      <c r="J61" s="59">
        <f>'Cenova nabidka NAFTA'!$L21*J33</f>
        <v>0</v>
      </c>
      <c r="K61" s="59">
        <f>'Cenova nabidka NAFTA'!$L21*K33</f>
        <v>0</v>
      </c>
      <c r="L61" s="59">
        <f>'Cenova nabidka NAFTA'!$L21*L33</f>
        <v>0</v>
      </c>
      <c r="M61" s="59">
        <f>'Cenova nabidka NAFTA'!$L21*M33</f>
        <v>0</v>
      </c>
      <c r="N61" s="59">
        <f>'Cenova nabidka NAFTA'!$L21*N33</f>
        <v>0</v>
      </c>
    </row>
    <row r="62" spans="2:14" ht="12.75" hidden="1">
      <c r="B62" s="56">
        <v>20</v>
      </c>
      <c r="C62" s="47" t="s">
        <v>15</v>
      </c>
      <c r="D62" s="48"/>
      <c r="E62" s="59">
        <f>'Cenova nabidka NAFTA'!$L22*E34</f>
        <v>0</v>
      </c>
      <c r="F62" s="59">
        <f>'Cenova nabidka NAFTA'!$L22*F34</f>
        <v>0</v>
      </c>
      <c r="G62" s="59">
        <f>'Cenova nabidka NAFTA'!$L22*G34</f>
        <v>0</v>
      </c>
      <c r="H62" s="59">
        <f>'Cenova nabidka NAFTA'!$L22*H34</f>
        <v>0</v>
      </c>
      <c r="I62" s="59">
        <f>'Cenova nabidka NAFTA'!$L22*I34</f>
        <v>0</v>
      </c>
      <c r="J62" s="59">
        <f>'Cenova nabidka NAFTA'!$L22*J34</f>
        <v>0</v>
      </c>
      <c r="K62" s="59">
        <f>'Cenova nabidka NAFTA'!$L22*K34</f>
        <v>0</v>
      </c>
      <c r="L62" s="59">
        <f>'Cenova nabidka NAFTA'!$L22*L34</f>
        <v>0</v>
      </c>
      <c r="M62" s="59">
        <f>'Cenova nabidka NAFTA'!$L22*M34</f>
        <v>0</v>
      </c>
      <c r="N62" s="59">
        <f>'Cenova nabidka NAFTA'!$L22*N34</f>
        <v>0</v>
      </c>
    </row>
    <row r="63" spans="2:14" ht="12.75" hidden="1">
      <c r="B63" s="56">
        <v>21</v>
      </c>
      <c r="C63" s="47" t="s">
        <v>16</v>
      </c>
      <c r="D63" s="48"/>
      <c r="E63" s="59">
        <f>'Cenova nabidka NAFTA'!$L23*E35</f>
        <v>0</v>
      </c>
      <c r="F63" s="59">
        <f>'Cenova nabidka NAFTA'!$L23*F35</f>
        <v>0</v>
      </c>
      <c r="G63" s="59">
        <f>'Cenova nabidka NAFTA'!$L23*G35</f>
        <v>0</v>
      </c>
      <c r="H63" s="59">
        <f>'Cenova nabidka NAFTA'!$L23*H35</f>
        <v>0</v>
      </c>
      <c r="I63" s="59">
        <f>'Cenova nabidka NAFTA'!$L23*I35</f>
        <v>0</v>
      </c>
      <c r="J63" s="59">
        <f>'Cenova nabidka NAFTA'!$L23*J35</f>
        <v>0</v>
      </c>
      <c r="K63" s="59">
        <f>'Cenova nabidka NAFTA'!$L23*K35</f>
        <v>0</v>
      </c>
      <c r="L63" s="59">
        <f>'Cenova nabidka NAFTA'!$L23*L35</f>
        <v>0</v>
      </c>
      <c r="M63" s="59">
        <f>'Cenova nabidka NAFTA'!$L23*M35</f>
        <v>0</v>
      </c>
      <c r="N63" s="59">
        <f>'Cenova nabidka NAFTA'!$L23*N35</f>
        <v>0</v>
      </c>
    </row>
    <row r="64" spans="2:14" ht="12.75" hidden="1">
      <c r="B64" s="56">
        <v>22</v>
      </c>
      <c r="C64" s="47" t="s">
        <v>17</v>
      </c>
      <c r="D64" s="48"/>
      <c r="E64" s="59">
        <f>'Cenova nabidka NAFTA'!$L24*E36</f>
        <v>0</v>
      </c>
      <c r="F64" s="59">
        <f>'Cenova nabidka NAFTA'!$L24*F36</f>
        <v>0</v>
      </c>
      <c r="G64" s="59">
        <f>'Cenova nabidka NAFTA'!$L24*G36</f>
        <v>0</v>
      </c>
      <c r="H64" s="59">
        <f>'Cenova nabidka NAFTA'!$L24*H36</f>
        <v>0</v>
      </c>
      <c r="I64" s="59">
        <f>'Cenova nabidka NAFTA'!$L24*I36</f>
        <v>0</v>
      </c>
      <c r="J64" s="59">
        <f>'Cenova nabidka NAFTA'!$L24*J36</f>
        <v>0</v>
      </c>
      <c r="K64" s="59">
        <f>'Cenova nabidka NAFTA'!$L24*K36</f>
        <v>0</v>
      </c>
      <c r="L64" s="59">
        <f>'Cenova nabidka NAFTA'!$L24*L36</f>
        <v>0</v>
      </c>
      <c r="M64" s="59">
        <f>'Cenova nabidka NAFTA'!$L24*M36</f>
        <v>0</v>
      </c>
      <c r="N64" s="59">
        <f>'Cenova nabidka NAFTA'!$L24*N36</f>
        <v>0</v>
      </c>
    </row>
    <row r="65" spans="2:14" ht="12.75" hidden="1">
      <c r="B65" s="56">
        <v>23</v>
      </c>
      <c r="C65" s="47" t="s">
        <v>18</v>
      </c>
      <c r="D65" s="48"/>
      <c r="E65" s="59">
        <f>'Cenova nabidka NAFTA'!$L25*E37</f>
        <v>0</v>
      </c>
      <c r="F65" s="59">
        <f>'Cenova nabidka NAFTA'!$L25*F37</f>
        <v>0</v>
      </c>
      <c r="G65" s="59">
        <f>'Cenova nabidka NAFTA'!$L25*G37</f>
        <v>0</v>
      </c>
      <c r="H65" s="59">
        <f>'Cenova nabidka NAFTA'!$L25*H37</f>
        <v>0</v>
      </c>
      <c r="I65" s="59">
        <f>'Cenova nabidka NAFTA'!$L25*I37</f>
        <v>0</v>
      </c>
      <c r="J65" s="59">
        <f>'Cenova nabidka NAFTA'!$L25*J37</f>
        <v>0</v>
      </c>
      <c r="K65" s="59">
        <f>'Cenova nabidka NAFTA'!$L25*K37</f>
        <v>0</v>
      </c>
      <c r="L65" s="59">
        <f>'Cenova nabidka NAFTA'!$L25*L37</f>
        <v>0</v>
      </c>
      <c r="M65" s="59">
        <f>'Cenova nabidka NAFTA'!$L25*M37</f>
        <v>0</v>
      </c>
      <c r="N65" s="59">
        <f>'Cenova nabidka NAFTA'!$L25*N37</f>
        <v>0</v>
      </c>
    </row>
    <row r="66" spans="2:14" ht="12.75" hidden="1">
      <c r="B66" s="56">
        <v>24</v>
      </c>
      <c r="C66" s="47" t="s">
        <v>19</v>
      </c>
      <c r="D66" s="48"/>
      <c r="E66" s="59">
        <f>'Cenova nabidka NAFTA'!$L26*E38</f>
        <v>0</v>
      </c>
      <c r="F66" s="59">
        <f>'Cenova nabidka NAFTA'!$L26*F38</f>
        <v>0</v>
      </c>
      <c r="G66" s="59">
        <f>'Cenova nabidka NAFTA'!$L26*G38</f>
        <v>0</v>
      </c>
      <c r="H66" s="59">
        <f>'Cenova nabidka NAFTA'!$L26*H38</f>
        <v>0</v>
      </c>
      <c r="I66" s="59">
        <f>'Cenova nabidka NAFTA'!$L26*I38</f>
        <v>0</v>
      </c>
      <c r="J66" s="59">
        <f>'Cenova nabidka NAFTA'!$L26*J38</f>
        <v>0</v>
      </c>
      <c r="K66" s="59">
        <f>'Cenova nabidka NAFTA'!$L26*K38</f>
        <v>0</v>
      </c>
      <c r="L66" s="59">
        <f>'Cenova nabidka NAFTA'!$L26*L38</f>
        <v>0</v>
      </c>
      <c r="M66" s="59">
        <f>'Cenova nabidka NAFTA'!$L26*M38</f>
        <v>0</v>
      </c>
      <c r="N66" s="59">
        <f>'Cenova nabidka NAFTA'!$L26*N38</f>
        <v>0</v>
      </c>
    </row>
    <row r="67" spans="2:14" ht="12.75" hidden="1">
      <c r="B67" s="56">
        <v>25</v>
      </c>
      <c r="C67" s="47" t="s">
        <v>20</v>
      </c>
      <c r="D67" s="48"/>
      <c r="E67" s="59">
        <f>'Cenova nabidka NAFTA'!$L27*E39</f>
        <v>0</v>
      </c>
      <c r="F67" s="59">
        <f>'Cenova nabidka NAFTA'!$L27*F39</f>
        <v>0</v>
      </c>
      <c r="G67" s="59">
        <f>'Cenova nabidka NAFTA'!$L27*G39</f>
        <v>0</v>
      </c>
      <c r="H67" s="59">
        <f>'Cenova nabidka NAFTA'!$L27*H39</f>
        <v>0</v>
      </c>
      <c r="I67" s="59">
        <f>'Cenova nabidka NAFTA'!$L27*I39</f>
        <v>0</v>
      </c>
      <c r="J67" s="59">
        <f>'Cenova nabidka NAFTA'!$L27*J39</f>
        <v>0</v>
      </c>
      <c r="K67" s="59">
        <f>'Cenova nabidka NAFTA'!$L27*K39</f>
        <v>0</v>
      </c>
      <c r="L67" s="59">
        <f>'Cenova nabidka NAFTA'!$L27*L39</f>
        <v>0</v>
      </c>
      <c r="M67" s="59">
        <f>'Cenova nabidka NAFTA'!$L27*M39</f>
        <v>0</v>
      </c>
      <c r="N67" s="59">
        <f>'Cenova nabidka NAFTA'!$L27*N39</f>
        <v>0</v>
      </c>
    </row>
    <row r="68" spans="2:14" ht="12.75" hidden="1">
      <c r="B68" s="67"/>
      <c r="C68" s="47" t="s">
        <v>84</v>
      </c>
      <c r="D68" s="48"/>
      <c r="E68" s="59">
        <f>'Cenova nabidka NAFTA'!$L29*E41</f>
        <v>0</v>
      </c>
      <c r="F68" s="59">
        <f>'Cenova nabidka NAFTA'!$L29*F41</f>
        <v>0</v>
      </c>
      <c r="G68" s="59">
        <f>'Cenova nabidka NAFTA'!$L29*G41</f>
        <v>0</v>
      </c>
      <c r="H68" s="59">
        <f>'Cenova nabidka NAFTA'!$L29*H41</f>
        <v>0</v>
      </c>
      <c r="I68" s="59">
        <f>'Cenova nabidka NAFTA'!$L29*I41</f>
        <v>0</v>
      </c>
      <c r="J68" s="59">
        <f>'Cenova nabidka NAFTA'!$L29*J41</f>
        <v>0</v>
      </c>
      <c r="K68" s="59">
        <f>'Cenova nabidka NAFTA'!$L29*K41</f>
        <v>0</v>
      </c>
      <c r="L68" s="59">
        <f>'Cenova nabidka NAFTA'!$L29*L41</f>
        <v>0</v>
      </c>
      <c r="M68" s="59">
        <f>'Cenova nabidka NAFTA'!$L29*M41</f>
        <v>0</v>
      </c>
      <c r="N68" s="59">
        <f>'Cenova nabidka NAFTA'!$L29*N41</f>
        <v>0</v>
      </c>
    </row>
    <row r="69" spans="2:14" ht="12.75" hidden="1">
      <c r="B69" s="68"/>
      <c r="C69" s="47" t="s">
        <v>44</v>
      </c>
      <c r="D69" s="48"/>
      <c r="E69" s="59">
        <f>'Cenova nabidka NAFTA'!$L30*E42</f>
        <v>0</v>
      </c>
      <c r="F69" s="59">
        <f>'Cenova nabidka NAFTA'!$L30*F42</f>
        <v>0</v>
      </c>
      <c r="G69" s="59">
        <f>'Cenova nabidka NAFTA'!$L30*G42</f>
        <v>0</v>
      </c>
      <c r="H69" s="59">
        <f>'Cenova nabidka NAFTA'!$L30*H42</f>
        <v>0</v>
      </c>
      <c r="I69" s="59">
        <f>'Cenova nabidka NAFTA'!$L30*I42</f>
        <v>0</v>
      </c>
      <c r="J69" s="59">
        <f>'Cenova nabidka NAFTA'!$L30*J42</f>
        <v>0</v>
      </c>
      <c r="K69" s="59">
        <f>'Cenova nabidka NAFTA'!$L30*K42</f>
        <v>0</v>
      </c>
      <c r="L69" s="59">
        <f>'Cenova nabidka NAFTA'!$L30*L42</f>
        <v>0</v>
      </c>
      <c r="M69" s="59">
        <f>'Cenova nabidka NAFTA'!$L30*M42</f>
        <v>0</v>
      </c>
      <c r="N69" s="59">
        <f>'Cenova nabidka NAFTA'!$L30*N42</f>
        <v>0</v>
      </c>
    </row>
    <row r="70" spans="2:15" s="11" customFormat="1" ht="12.75" hidden="1">
      <c r="B70" s="69"/>
      <c r="C70" s="63" t="s">
        <v>68</v>
      </c>
      <c r="D70" s="64"/>
      <c r="E70" s="65">
        <f aca="true" t="shared" si="4" ref="E70:N70">SUM(E48:E69)</f>
        <v>0</v>
      </c>
      <c r="F70" s="65">
        <f t="shared" si="4"/>
        <v>0</v>
      </c>
      <c r="G70" s="65">
        <f t="shared" si="4"/>
        <v>0</v>
      </c>
      <c r="H70" s="65">
        <f t="shared" si="4"/>
        <v>0</v>
      </c>
      <c r="I70" s="65">
        <f t="shared" si="4"/>
        <v>0</v>
      </c>
      <c r="J70" s="65">
        <f t="shared" si="4"/>
        <v>0</v>
      </c>
      <c r="K70" s="65">
        <f t="shared" si="4"/>
        <v>0</v>
      </c>
      <c r="L70" s="65">
        <f t="shared" si="4"/>
        <v>0</v>
      </c>
      <c r="M70" s="65">
        <f t="shared" si="4"/>
        <v>0</v>
      </c>
      <c r="N70" s="65">
        <f t="shared" si="4"/>
        <v>0</v>
      </c>
      <c r="O70" s="66"/>
    </row>
    <row r="71" spans="2:14" ht="12.75" hidden="1">
      <c r="B71" s="68"/>
      <c r="C71" s="47" t="s">
        <v>66</v>
      </c>
      <c r="D71" s="48"/>
      <c r="E71" s="59">
        <f aca="true" t="shared" si="5" ref="E71:N71">VV_nafta</f>
        <v>0</v>
      </c>
      <c r="F71" s="59">
        <f t="shared" si="5"/>
        <v>0</v>
      </c>
      <c r="G71" s="59">
        <f t="shared" si="5"/>
        <v>0</v>
      </c>
      <c r="H71" s="59">
        <f t="shared" si="5"/>
        <v>0</v>
      </c>
      <c r="I71" s="59">
        <f t="shared" si="5"/>
        <v>0</v>
      </c>
      <c r="J71" s="59">
        <f t="shared" si="5"/>
        <v>0</v>
      </c>
      <c r="K71" s="59">
        <f t="shared" si="5"/>
        <v>0</v>
      </c>
      <c r="L71" s="59">
        <f t="shared" si="5"/>
        <v>0</v>
      </c>
      <c r="M71" s="59">
        <f t="shared" si="5"/>
        <v>0</v>
      </c>
      <c r="N71" s="59">
        <f t="shared" si="5"/>
        <v>0</v>
      </c>
    </row>
    <row r="72" spans="2:14" ht="12.75" hidden="1">
      <c r="B72" s="68"/>
      <c r="C72" s="47" t="s">
        <v>66</v>
      </c>
      <c r="D72" s="48"/>
      <c r="E72" s="59" t="e">
        <f>#REF!</f>
        <v>#REF!</v>
      </c>
      <c r="F72" s="59" t="e">
        <f>#REF!</f>
        <v>#REF!</v>
      </c>
      <c r="G72" s="59" t="e">
        <f>#REF!</f>
        <v>#REF!</v>
      </c>
      <c r="H72" s="59" t="e">
        <f>#REF!</f>
        <v>#REF!</v>
      </c>
      <c r="I72" s="59" t="e">
        <f>#REF!</f>
        <v>#REF!</v>
      </c>
      <c r="J72" s="59" t="e">
        <f>#REF!</f>
        <v>#REF!</v>
      </c>
      <c r="K72" s="59" t="e">
        <f>#REF!</f>
        <v>#REF!</v>
      </c>
      <c r="L72" s="59" t="e">
        <f>#REF!</f>
        <v>#REF!</v>
      </c>
      <c r="M72" s="59" t="e">
        <f>#REF!</f>
        <v>#REF!</v>
      </c>
      <c r="N72" s="59" t="e">
        <f>#REF!</f>
        <v>#REF!</v>
      </c>
    </row>
    <row r="73" spans="2:14" ht="12.75" hidden="1">
      <c r="B73" s="68"/>
      <c r="C73" s="47" t="s">
        <v>66</v>
      </c>
      <c r="D73" s="48"/>
      <c r="E73" s="59" t="e">
        <f>#REF!</f>
        <v>#REF!</v>
      </c>
      <c r="F73" s="59" t="e">
        <f>#REF!</f>
        <v>#REF!</v>
      </c>
      <c r="G73" s="59" t="e">
        <f>#REF!</f>
        <v>#REF!</v>
      </c>
      <c r="H73" s="59" t="e">
        <f>#REF!</f>
        <v>#REF!</v>
      </c>
      <c r="I73" s="59" t="e">
        <f>#REF!</f>
        <v>#REF!</v>
      </c>
      <c r="J73" s="59" t="e">
        <f>#REF!</f>
        <v>#REF!</v>
      </c>
      <c r="K73" s="59" t="e">
        <f>#REF!</f>
        <v>#REF!</v>
      </c>
      <c r="L73" s="59" t="e">
        <f>#REF!</f>
        <v>#REF!</v>
      </c>
      <c r="M73" s="59" t="e">
        <f>#REF!</f>
        <v>#REF!</v>
      </c>
      <c r="N73" s="59" t="e">
        <f>#REF!</f>
        <v>#REF!</v>
      </c>
    </row>
    <row r="74" spans="2:14" ht="12.75" customHeight="1" hidden="1">
      <c r="B74" s="70"/>
      <c r="C74" s="60" t="s">
        <v>67</v>
      </c>
      <c r="D74" s="61"/>
      <c r="E74" s="62" t="e">
        <f aca="true" t="shared" si="6" ref="E74:N74">E70/E71</f>
        <v>#DIV/0!</v>
      </c>
      <c r="F74" s="62" t="e">
        <f t="shared" si="6"/>
        <v>#DIV/0!</v>
      </c>
      <c r="G74" s="62" t="e">
        <f t="shared" si="6"/>
        <v>#DIV/0!</v>
      </c>
      <c r="H74" s="62" t="e">
        <f t="shared" si="6"/>
        <v>#DIV/0!</v>
      </c>
      <c r="I74" s="62" t="e">
        <f t="shared" si="6"/>
        <v>#DIV/0!</v>
      </c>
      <c r="J74" s="62" t="e">
        <f t="shared" si="6"/>
        <v>#DIV/0!</v>
      </c>
      <c r="K74" s="62" t="e">
        <f t="shared" si="6"/>
        <v>#DIV/0!</v>
      </c>
      <c r="L74" s="62" t="e">
        <f t="shared" si="6"/>
        <v>#DIV/0!</v>
      </c>
      <c r="M74" s="62" t="e">
        <f t="shared" si="6"/>
        <v>#DIV/0!</v>
      </c>
      <c r="N74" s="62" t="e">
        <f t="shared" si="6"/>
        <v>#DIV/0!</v>
      </c>
    </row>
    <row r="75" ht="12.75" customHeight="1" hidden="1"/>
  </sheetData>
  <sheetProtection password="EEFD" sheet="1" scenarios="1" formatRows="0"/>
  <mergeCells count="11">
    <mergeCell ref="B11:D11"/>
    <mergeCell ref="B12:D12"/>
    <mergeCell ref="B13:D13"/>
    <mergeCell ref="B14:D14"/>
    <mergeCell ref="G18:H18"/>
    <mergeCell ref="B10:D10"/>
    <mergeCell ref="B5:D5"/>
    <mergeCell ref="B6:D6"/>
    <mergeCell ref="B7:D7"/>
    <mergeCell ref="B8:D8"/>
    <mergeCell ref="B9:D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4" r:id="rId1"/>
  <headerFooter>
    <oddHeader>&amp;C&amp;F</oddHead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SheetLayoutView="100" workbookViewId="0" topLeftCell="A4">
      <selection activeCell="D14" sqref="D14"/>
    </sheetView>
  </sheetViews>
  <sheetFormatPr defaultColWidth="0" defaultRowHeight="12.75" zeroHeight="1"/>
  <cols>
    <col min="1" max="1" width="4.7109375" style="0" customWidth="1"/>
    <col min="2" max="2" width="48.28125" style="0" customWidth="1"/>
    <col min="3" max="13" width="10.7109375" style="0" customWidth="1"/>
    <col min="14" max="14" width="4.7109375" style="10" customWidth="1"/>
    <col min="15" max="16384" width="9.140625" style="10" hidden="1" customWidth="1"/>
  </cols>
  <sheetData>
    <row r="1" spans="1:14" ht="12.75">
      <c r="A1" s="10"/>
      <c r="B1" s="10"/>
      <c r="C1" s="10"/>
      <c r="D1" s="10"/>
      <c r="E1" s="10"/>
      <c r="F1" s="10"/>
      <c r="G1" s="10"/>
      <c r="H1" s="10"/>
      <c r="I1" s="10"/>
      <c r="J1" s="10"/>
      <c r="K1" s="10"/>
      <c r="L1" s="10"/>
      <c r="M1" s="10"/>
      <c r="N1" s="10"/>
    </row>
    <row r="2" spans="1:14" ht="12.75">
      <c r="A2" s="10"/>
      <c r="B2" s="11" t="s">
        <v>130</v>
      </c>
      <c r="C2" s="10"/>
      <c r="D2" s="10"/>
      <c r="E2" s="10"/>
      <c r="F2" s="10"/>
      <c r="G2" s="10"/>
      <c r="H2" s="10"/>
      <c r="I2" s="10"/>
      <c r="J2" s="10"/>
      <c r="K2" s="10"/>
      <c r="L2" s="10"/>
      <c r="M2" s="10"/>
      <c r="N2" s="10"/>
    </row>
    <row r="3" spans="1:13" ht="12.75">
      <c r="A3" s="10"/>
      <c r="B3" s="10"/>
      <c r="C3" s="10"/>
      <c r="D3" s="746" t="s">
        <v>131</v>
      </c>
      <c r="E3" s="746"/>
      <c r="F3" s="746"/>
      <c r="G3" s="746"/>
      <c r="H3" s="746"/>
      <c r="I3" s="746"/>
      <c r="J3" s="746"/>
      <c r="K3" s="746"/>
      <c r="L3" s="746"/>
      <c r="M3" s="746"/>
    </row>
    <row r="4" spans="1:13" ht="13.5" thickBot="1">
      <c r="A4" s="10"/>
      <c r="B4" s="220"/>
      <c r="C4" s="221"/>
      <c r="D4" s="222">
        <f>VR</f>
        <v>1</v>
      </c>
      <c r="E4" s="222">
        <f>D4+1</f>
        <v>2</v>
      </c>
      <c r="F4" s="222">
        <f aca="true" t="shared" si="0" ref="F4:M4">E4+1</f>
        <v>3</v>
      </c>
      <c r="G4" s="222">
        <f t="shared" si="0"/>
        <v>4</v>
      </c>
      <c r="H4" s="222">
        <f t="shared" si="0"/>
        <v>5</v>
      </c>
      <c r="I4" s="222">
        <f t="shared" si="0"/>
        <v>6</v>
      </c>
      <c r="J4" s="222">
        <f t="shared" si="0"/>
        <v>7</v>
      </c>
      <c r="K4" s="222">
        <f t="shared" si="0"/>
        <v>8</v>
      </c>
      <c r="L4" s="222">
        <f t="shared" si="0"/>
        <v>9</v>
      </c>
      <c r="M4" s="222">
        <f t="shared" si="0"/>
        <v>10</v>
      </c>
    </row>
    <row r="5" spans="1:13" ht="13.5" thickTop="1">
      <c r="A5" s="10"/>
      <c r="B5" s="22" t="s">
        <v>201</v>
      </c>
      <c r="C5" s="22" t="s">
        <v>33</v>
      </c>
      <c r="D5" s="329"/>
      <c r="E5" s="329"/>
      <c r="F5" s="329"/>
      <c r="G5" s="329"/>
      <c r="H5" s="329"/>
      <c r="I5" s="329"/>
      <c r="J5" s="329"/>
      <c r="K5" s="329"/>
      <c r="L5" s="329"/>
      <c r="M5" s="329"/>
    </row>
    <row r="6" spans="1:13" ht="12.75">
      <c r="A6" s="10"/>
      <c r="B6" s="22" t="s">
        <v>202</v>
      </c>
      <c r="C6" s="22" t="s">
        <v>39</v>
      </c>
      <c r="D6" s="72">
        <f aca="true" t="shared" si="1" ref="D6:M6">IF(D5=0,0,(D5/PP-1))</f>
        <v>0</v>
      </c>
      <c r="E6" s="72">
        <f t="shared" si="1"/>
        <v>0</v>
      </c>
      <c r="F6" s="72">
        <f t="shared" si="1"/>
        <v>0</v>
      </c>
      <c r="G6" s="72">
        <f t="shared" si="1"/>
        <v>0</v>
      </c>
      <c r="H6" s="72">
        <f t="shared" si="1"/>
        <v>0</v>
      </c>
      <c r="I6" s="72">
        <f t="shared" si="1"/>
        <v>0</v>
      </c>
      <c r="J6" s="72">
        <f t="shared" si="1"/>
        <v>0</v>
      </c>
      <c r="K6" s="72">
        <f t="shared" si="1"/>
        <v>0</v>
      </c>
      <c r="L6" s="72">
        <f t="shared" si="1"/>
        <v>0</v>
      </c>
      <c r="M6" s="72">
        <f t="shared" si="1"/>
        <v>0</v>
      </c>
    </row>
    <row r="7" spans="1:13" ht="12.75">
      <c r="A7" s="10"/>
      <c r="B7" s="217"/>
      <c r="C7" s="217"/>
      <c r="D7" s="218"/>
      <c r="E7" s="218"/>
      <c r="F7" s="218"/>
      <c r="G7" s="218"/>
      <c r="H7" s="218"/>
      <c r="I7" s="218"/>
      <c r="J7" s="218"/>
      <c r="K7" s="218"/>
      <c r="L7" s="218"/>
      <c r="M7" s="218"/>
    </row>
    <row r="8" spans="1:13" ht="12.75">
      <c r="A8" s="10"/>
      <c r="B8" s="216" t="s">
        <v>204</v>
      </c>
      <c r="C8" s="216" t="s">
        <v>243</v>
      </c>
      <c r="D8" s="333"/>
      <c r="E8" s="333"/>
      <c r="F8" s="333"/>
      <c r="G8" s="333"/>
      <c r="H8" s="333"/>
      <c r="I8" s="333"/>
      <c r="J8" s="333"/>
      <c r="K8" s="333"/>
      <c r="L8" s="333"/>
      <c r="M8" s="333"/>
    </row>
    <row r="9" spans="1:13" ht="12.75">
      <c r="A9" s="10"/>
      <c r="B9" s="10"/>
      <c r="C9" s="10"/>
      <c r="D9" s="229"/>
      <c r="E9" s="51"/>
      <c r="F9" s="51"/>
      <c r="G9" s="51"/>
      <c r="H9" s="51"/>
      <c r="I9" s="51"/>
      <c r="J9" s="51"/>
      <c r="K9" s="51"/>
      <c r="L9" s="51"/>
      <c r="M9" s="51"/>
    </row>
    <row r="10" spans="1:13" ht="12.75">
      <c r="A10" s="10"/>
      <c r="B10" s="11" t="s">
        <v>132</v>
      </c>
      <c r="D10" s="230"/>
      <c r="E10" s="230"/>
      <c r="F10" s="230"/>
      <c r="G10" s="230"/>
      <c r="H10" s="230"/>
      <c r="I10" s="230"/>
      <c r="J10" s="230"/>
      <c r="K10" s="230"/>
      <c r="L10" s="230"/>
      <c r="M10" s="230"/>
    </row>
    <row r="11" spans="1:13" ht="12.75">
      <c r="A11" s="10"/>
      <c r="B11" s="10"/>
      <c r="C11" s="10"/>
      <c r="D11" s="10"/>
      <c r="E11" s="10"/>
      <c r="F11" s="10"/>
      <c r="G11" s="10"/>
      <c r="H11" s="10"/>
      <c r="I11" s="10"/>
      <c r="J11" s="10"/>
      <c r="K11" s="10"/>
      <c r="L11" s="10"/>
      <c r="M11" s="10"/>
    </row>
    <row r="12" spans="1:13" ht="12.75">
      <c r="A12" s="10"/>
      <c r="B12" s="11" t="s">
        <v>237</v>
      </c>
      <c r="C12" s="10"/>
      <c r="D12" s="746" t="s">
        <v>131</v>
      </c>
      <c r="E12" s="746"/>
      <c r="F12" s="746"/>
      <c r="G12" s="746"/>
      <c r="H12" s="746"/>
      <c r="I12" s="746"/>
      <c r="J12" s="746"/>
      <c r="K12" s="746"/>
      <c r="L12" s="746"/>
      <c r="M12" s="746"/>
    </row>
    <row r="13" spans="1:13" ht="13.5" thickBot="1">
      <c r="A13" s="10"/>
      <c r="B13" s="220"/>
      <c r="C13" s="221"/>
      <c r="D13" s="222">
        <f>VR</f>
        <v>1</v>
      </c>
      <c r="E13" s="222">
        <f>D13+1</f>
        <v>2</v>
      </c>
      <c r="F13" s="222">
        <f aca="true" t="shared" si="2" ref="F13">E13+1</f>
        <v>3</v>
      </c>
      <c r="G13" s="222">
        <f aca="true" t="shared" si="3" ref="G13">F13+1</f>
        <v>4</v>
      </c>
      <c r="H13" s="222">
        <f aca="true" t="shared" si="4" ref="H13">G13+1</f>
        <v>5</v>
      </c>
      <c r="I13" s="222">
        <f aca="true" t="shared" si="5" ref="I13">H13+1</f>
        <v>6</v>
      </c>
      <c r="J13" s="222">
        <f aca="true" t="shared" si="6" ref="J13">I13+1</f>
        <v>7</v>
      </c>
      <c r="K13" s="222">
        <f aca="true" t="shared" si="7" ref="K13">J13+1</f>
        <v>8</v>
      </c>
      <c r="L13" s="222">
        <f aca="true" t="shared" si="8" ref="L13">K13+1</f>
        <v>9</v>
      </c>
      <c r="M13" s="222">
        <f aca="true" t="shared" si="9" ref="M13">L13+1</f>
        <v>10</v>
      </c>
    </row>
    <row r="14" spans="1:13" ht="13.5" thickTop="1">
      <c r="A14" s="10"/>
      <c r="B14" s="182" t="s">
        <v>119</v>
      </c>
      <c r="C14" s="22" t="s">
        <v>34</v>
      </c>
      <c r="D14" s="347">
        <f>'Vypocty NAFTA'!E34</f>
        <v>1.13</v>
      </c>
      <c r="E14" s="347">
        <f>'Vypocty NAFTA'!F34</f>
        <v>0</v>
      </c>
      <c r="F14" s="347">
        <f>'Vypocty NAFTA'!G34</f>
        <v>0</v>
      </c>
      <c r="G14" s="347">
        <f>'Vypocty NAFTA'!H34</f>
        <v>0</v>
      </c>
      <c r="H14" s="347">
        <f>'Vypocty NAFTA'!I34</f>
        <v>0</v>
      </c>
      <c r="I14" s="347">
        <f>'Vypocty NAFTA'!J34</f>
        <v>0</v>
      </c>
      <c r="J14" s="347">
        <f>'Vypocty NAFTA'!K34</f>
        <v>0</v>
      </c>
      <c r="K14" s="347">
        <f>'Vypocty NAFTA'!L34</f>
        <v>0</v>
      </c>
      <c r="L14" s="347">
        <f>'Vypocty NAFTA'!M34</f>
        <v>0</v>
      </c>
      <c r="M14" s="347">
        <f>'Vypocty NAFTA'!N34</f>
        <v>0</v>
      </c>
    </row>
    <row r="15" spans="1:13" ht="12.75">
      <c r="A15" s="10"/>
      <c r="B15" s="182" t="s">
        <v>108</v>
      </c>
      <c r="C15" s="22" t="s">
        <v>34</v>
      </c>
      <c r="D15" s="347">
        <f>'Vypocty CNG'!E34</f>
        <v>28.99</v>
      </c>
      <c r="E15" s="347">
        <f>'Vypocty CNG'!F34</f>
        <v>0</v>
      </c>
      <c r="F15" s="347">
        <f>'Vypocty CNG'!G34</f>
        <v>0</v>
      </c>
      <c r="G15" s="347">
        <f>'Vypocty CNG'!H34</f>
        <v>0</v>
      </c>
      <c r="H15" s="347">
        <f>'Vypocty CNG'!I34</f>
        <v>0</v>
      </c>
      <c r="I15" s="347">
        <f>'Vypocty CNG'!J34</f>
        <v>0</v>
      </c>
      <c r="J15" s="347">
        <f>'Vypocty CNG'!K34</f>
        <v>0</v>
      </c>
      <c r="K15" s="347">
        <f>'Vypocty CNG'!L34</f>
        <v>0</v>
      </c>
      <c r="L15" s="347">
        <f>'Vypocty CNG'!M34</f>
        <v>0</v>
      </c>
      <c r="M15" s="347">
        <f>'Vypocty CNG'!N34</f>
        <v>0</v>
      </c>
    </row>
    <row r="16" spans="1:13" ht="12.75">
      <c r="A16" s="10"/>
      <c r="B16" s="182" t="s">
        <v>260</v>
      </c>
      <c r="C16" s="22" t="s">
        <v>34</v>
      </c>
      <c r="D16" s="347">
        <f>'Vypocty ELEKTRO'!E34</f>
        <v>1.13</v>
      </c>
      <c r="E16" s="347">
        <f>'Vypocty ELEKTRO'!F34</f>
        <v>0</v>
      </c>
      <c r="F16" s="347">
        <f>'Vypocty ELEKTRO'!G34</f>
        <v>0</v>
      </c>
      <c r="G16" s="347">
        <f>'Vypocty ELEKTRO'!H34</f>
        <v>0</v>
      </c>
      <c r="H16" s="347">
        <f>'Vypocty ELEKTRO'!I34</f>
        <v>0</v>
      </c>
      <c r="I16" s="347">
        <f>'Vypocty ELEKTRO'!J34</f>
        <v>0</v>
      </c>
      <c r="J16" s="347">
        <f>'Vypocty ELEKTRO'!K34</f>
        <v>0</v>
      </c>
      <c r="K16" s="347">
        <f>'Vypocty ELEKTRO'!L34</f>
        <v>0</v>
      </c>
      <c r="L16" s="347">
        <f>'Vypocty ELEKTRO'!M34</f>
        <v>0</v>
      </c>
      <c r="M16" s="347">
        <f>'Vypocty ELEKTRO'!N34</f>
        <v>0</v>
      </c>
    </row>
    <row r="17" spans="1:13" ht="12.75">
      <c r="A17" s="10"/>
      <c r="B17" s="233" t="s">
        <v>138</v>
      </c>
      <c r="C17" s="234" t="s">
        <v>34</v>
      </c>
      <c r="D17" s="348">
        <f>D14*'Technicke hodnoceni'!D$20+'Beh smlouvy'!D15*'Technicke hodnoceni'!D$21+'Beh smlouvy'!D16*'Technicke hodnoceni'!D$22</f>
        <v>28.99</v>
      </c>
      <c r="E17" s="348">
        <f>E14*'Technicke hodnoceni'!E$20+'Beh smlouvy'!E15*'Technicke hodnoceni'!E$21+'Beh smlouvy'!E16*'Technicke hodnoceni'!E$22</f>
        <v>0</v>
      </c>
      <c r="F17" s="348">
        <f>F14*'Technicke hodnoceni'!F$20+'Beh smlouvy'!F15*'Technicke hodnoceni'!F$21+'Beh smlouvy'!F16*'Technicke hodnoceni'!F$22</f>
        <v>0</v>
      </c>
      <c r="G17" s="348">
        <f>G14*'Technicke hodnoceni'!G$20+'Beh smlouvy'!G15*'Technicke hodnoceni'!G$21+'Beh smlouvy'!G16*'Technicke hodnoceni'!G$22</f>
        <v>0</v>
      </c>
      <c r="H17" s="348">
        <f>H14*'Technicke hodnoceni'!H$20+'Beh smlouvy'!H15*'Technicke hodnoceni'!H$21+'Beh smlouvy'!H16*'Technicke hodnoceni'!H$22</f>
        <v>0</v>
      </c>
      <c r="I17" s="348">
        <f>I14*'Technicke hodnoceni'!I$20+'Beh smlouvy'!I15*'Technicke hodnoceni'!I$21+'Beh smlouvy'!I16*'Technicke hodnoceni'!I$22</f>
        <v>0</v>
      </c>
      <c r="J17" s="348">
        <f>J14*'Technicke hodnoceni'!J$20+'Beh smlouvy'!J15*'Technicke hodnoceni'!J$21+'Beh smlouvy'!J16*'Technicke hodnoceni'!J$22</f>
        <v>0</v>
      </c>
      <c r="K17" s="348">
        <f>K14*'Technicke hodnoceni'!K$20+'Beh smlouvy'!K15*'Technicke hodnoceni'!K$21+'Beh smlouvy'!K16*'Technicke hodnoceni'!K$22</f>
        <v>0</v>
      </c>
      <c r="L17" s="348">
        <f>L14*'Technicke hodnoceni'!L$20+'Beh smlouvy'!L15*'Technicke hodnoceni'!L$21+'Beh smlouvy'!L16*'Technicke hodnoceni'!L$22</f>
        <v>0</v>
      </c>
      <c r="M17" s="348">
        <f>M14*'Technicke hodnoceni'!M$20+'Beh smlouvy'!M15*'Technicke hodnoceni'!M$21+'Beh smlouvy'!M16*'Technicke hodnoceni'!M$22</f>
        <v>0</v>
      </c>
    </row>
    <row r="18" spans="1:13" ht="12.75">
      <c r="A18" s="10"/>
      <c r="B18" s="10"/>
      <c r="C18" s="10"/>
      <c r="D18" s="10"/>
      <c r="E18" s="10"/>
      <c r="F18" s="10"/>
      <c r="G18" s="10"/>
      <c r="H18" s="10"/>
      <c r="I18" s="10"/>
      <c r="J18" s="10"/>
      <c r="K18" s="10"/>
      <c r="L18" s="10"/>
      <c r="M18" s="10"/>
    </row>
    <row r="19" spans="1:13" ht="12.75">
      <c r="A19" s="10"/>
      <c r="B19" s="11" t="s">
        <v>242</v>
      </c>
      <c r="C19" s="10"/>
      <c r="D19" s="310"/>
      <c r="E19" s="310"/>
      <c r="F19" s="310"/>
      <c r="G19" s="310"/>
      <c r="H19" s="747" t="s">
        <v>131</v>
      </c>
      <c r="I19" s="748"/>
      <c r="J19" s="310"/>
      <c r="K19" s="310"/>
      <c r="L19" s="310"/>
      <c r="M19" s="310"/>
    </row>
    <row r="20" spans="1:13" ht="13.5" thickBot="1">
      <c r="A20" s="10"/>
      <c r="B20" s="220"/>
      <c r="C20" s="221"/>
      <c r="D20" s="222">
        <f>VR</f>
        <v>1</v>
      </c>
      <c r="E20" s="222">
        <f>D20+1</f>
        <v>2</v>
      </c>
      <c r="F20" s="222">
        <f aca="true" t="shared" si="10" ref="F20">E20+1</f>
        <v>3</v>
      </c>
      <c r="G20" s="222">
        <f aca="true" t="shared" si="11" ref="G20">F20+1</f>
        <v>4</v>
      </c>
      <c r="H20" s="222">
        <f aca="true" t="shared" si="12" ref="H20">G20+1</f>
        <v>5</v>
      </c>
      <c r="I20" s="222">
        <f aca="true" t="shared" si="13" ref="I20">H20+1</f>
        <v>6</v>
      </c>
      <c r="J20" s="222">
        <f aca="true" t="shared" si="14" ref="J20">I20+1</f>
        <v>7</v>
      </c>
      <c r="K20" s="222">
        <f aca="true" t="shared" si="15" ref="K20">J20+1</f>
        <v>8</v>
      </c>
      <c r="L20" s="222">
        <f aca="true" t="shared" si="16" ref="L20">K20+1</f>
        <v>9</v>
      </c>
      <c r="M20" s="222">
        <f aca="true" t="shared" si="17" ref="M20">L20+1</f>
        <v>10</v>
      </c>
    </row>
    <row r="21" spans="1:13" ht="13.5" thickTop="1">
      <c r="A21" s="10"/>
      <c r="B21" s="182" t="str">
        <f>B14</f>
        <v>Nafta</v>
      </c>
      <c r="C21" s="22" t="s">
        <v>34</v>
      </c>
      <c r="D21" s="347">
        <f>'Vypocty NAFTA'!E63</f>
        <v>0</v>
      </c>
      <c r="E21" s="347">
        <f>'Vypocty NAFTA'!F63</f>
        <v>0</v>
      </c>
      <c r="F21" s="347">
        <f>'Vypocty NAFTA'!G63</f>
        <v>0</v>
      </c>
      <c r="G21" s="347">
        <f>'Vypocty NAFTA'!H63</f>
        <v>0</v>
      </c>
      <c r="H21" s="347">
        <f>'Vypocty NAFTA'!I63</f>
        <v>0</v>
      </c>
      <c r="I21" s="347">
        <f>'Vypocty NAFTA'!J63</f>
        <v>0</v>
      </c>
      <c r="J21" s="347">
        <f>'Vypocty NAFTA'!K63</f>
        <v>0</v>
      </c>
      <c r="K21" s="347">
        <f>'Vypocty NAFTA'!L63</f>
        <v>0</v>
      </c>
      <c r="L21" s="347">
        <f>'Vypocty NAFTA'!M63</f>
        <v>0</v>
      </c>
      <c r="M21" s="347">
        <f>'Vypocty NAFTA'!N63</f>
        <v>0</v>
      </c>
    </row>
    <row r="22" spans="1:13" ht="12.75">
      <c r="A22" s="10"/>
      <c r="B22" s="182" t="str">
        <f>B15</f>
        <v>CNG</v>
      </c>
      <c r="C22" s="22" t="s">
        <v>34</v>
      </c>
      <c r="D22" s="347">
        <f>'Vypocty CNG'!E63</f>
        <v>10.86</v>
      </c>
      <c r="E22" s="347">
        <f>'Vypocty CNG'!F63</f>
        <v>0</v>
      </c>
      <c r="F22" s="347">
        <f>'Vypocty CNG'!G63</f>
        <v>0</v>
      </c>
      <c r="G22" s="347">
        <f>'Vypocty CNG'!H63</f>
        <v>0</v>
      </c>
      <c r="H22" s="347">
        <f>'Vypocty CNG'!I63</f>
        <v>0</v>
      </c>
      <c r="I22" s="347">
        <f>'Vypocty CNG'!J63</f>
        <v>0</v>
      </c>
      <c r="J22" s="347">
        <f>'Vypocty CNG'!K63</f>
        <v>0</v>
      </c>
      <c r="K22" s="347">
        <f>'Vypocty CNG'!L63</f>
        <v>0</v>
      </c>
      <c r="L22" s="347">
        <f>'Vypocty CNG'!M63</f>
        <v>0</v>
      </c>
      <c r="M22" s="347">
        <f>'Vypocty CNG'!N63</f>
        <v>0</v>
      </c>
    </row>
    <row r="23" spans="1:13" ht="12.75">
      <c r="A23" s="10"/>
      <c r="B23" s="182" t="str">
        <f>B16</f>
        <v>Elektro</v>
      </c>
      <c r="C23" s="22" t="s">
        <v>34</v>
      </c>
      <c r="D23" s="347">
        <f>'Vypocty ELEKTRO'!E63</f>
        <v>0</v>
      </c>
      <c r="E23" s="347">
        <f>'Vypocty ELEKTRO'!F63</f>
        <v>0</v>
      </c>
      <c r="F23" s="347">
        <f>'Vypocty ELEKTRO'!G63</f>
        <v>0</v>
      </c>
      <c r="G23" s="347">
        <f>'Vypocty ELEKTRO'!H63</f>
        <v>0</v>
      </c>
      <c r="H23" s="347">
        <f>'Vypocty ELEKTRO'!I63</f>
        <v>0</v>
      </c>
      <c r="I23" s="347">
        <f>'Vypocty ELEKTRO'!J63</f>
        <v>0</v>
      </c>
      <c r="J23" s="347">
        <f>'Vypocty ELEKTRO'!K63</f>
        <v>0</v>
      </c>
      <c r="K23" s="347">
        <f>'Vypocty ELEKTRO'!L63</f>
        <v>0</v>
      </c>
      <c r="L23" s="347">
        <f>'Vypocty ELEKTRO'!M63</f>
        <v>0</v>
      </c>
      <c r="M23" s="347">
        <f>'Vypocty ELEKTRO'!N63</f>
        <v>0</v>
      </c>
    </row>
    <row r="24" spans="1:13" ht="12.75">
      <c r="A24" s="10"/>
      <c r="B24" s="233" t="s">
        <v>138</v>
      </c>
      <c r="C24" s="234" t="s">
        <v>34</v>
      </c>
      <c r="D24" s="348">
        <f>D21*'Technicke hodnoceni'!D$20+'Beh smlouvy'!D22*'Technicke hodnoceni'!D$21+'Beh smlouvy'!D23*'Technicke hodnoceni'!D$22</f>
        <v>10.86</v>
      </c>
      <c r="E24" s="348">
        <f>E21*'Technicke hodnoceni'!E$20+'Beh smlouvy'!E22*'Technicke hodnoceni'!E$21+'Beh smlouvy'!E23*'Technicke hodnoceni'!E$22</f>
        <v>0</v>
      </c>
      <c r="F24" s="348">
        <f>F21*'Technicke hodnoceni'!F$20+'Beh smlouvy'!F22*'Technicke hodnoceni'!F$21+'Beh smlouvy'!F23*'Technicke hodnoceni'!F$22</f>
        <v>0</v>
      </c>
      <c r="G24" s="348">
        <f>G21*'Technicke hodnoceni'!G$20+'Beh smlouvy'!G22*'Technicke hodnoceni'!G$21+'Beh smlouvy'!G23*'Technicke hodnoceni'!G$22</f>
        <v>0</v>
      </c>
      <c r="H24" s="348">
        <f>H21*'Technicke hodnoceni'!H$20+'Beh smlouvy'!H22*'Technicke hodnoceni'!H$21+'Beh smlouvy'!H23*'Technicke hodnoceni'!H$22</f>
        <v>0</v>
      </c>
      <c r="I24" s="348">
        <f>I21*'Technicke hodnoceni'!I$20+'Beh smlouvy'!I22*'Technicke hodnoceni'!I$21+'Beh smlouvy'!I23*'Technicke hodnoceni'!I$22</f>
        <v>0</v>
      </c>
      <c r="J24" s="348">
        <f>J21*'Technicke hodnoceni'!J$20+'Beh smlouvy'!J22*'Technicke hodnoceni'!J$21+'Beh smlouvy'!J23*'Technicke hodnoceni'!J$22</f>
        <v>0</v>
      </c>
      <c r="K24" s="348">
        <f>K21*'Technicke hodnoceni'!K$20+'Beh smlouvy'!K22*'Technicke hodnoceni'!K$21+'Beh smlouvy'!K23*'Technicke hodnoceni'!K$22</f>
        <v>0</v>
      </c>
      <c r="L24" s="348">
        <f>L21*'Technicke hodnoceni'!L$20+'Beh smlouvy'!L22*'Technicke hodnoceni'!L$21+'Beh smlouvy'!L23*'Technicke hodnoceni'!L$22</f>
        <v>0</v>
      </c>
      <c r="M24" s="348">
        <f>M21*'Technicke hodnoceni'!M$20+'Beh smlouvy'!M22*'Technicke hodnoceni'!M$21+'Beh smlouvy'!M23*'Technicke hodnoceni'!M$22</f>
        <v>0</v>
      </c>
    </row>
    <row r="25" spans="1:13" ht="12.75">
      <c r="A25" s="10"/>
      <c r="B25" s="10"/>
      <c r="C25" s="10"/>
      <c r="D25" s="10"/>
      <c r="E25" s="10"/>
      <c r="F25" s="10"/>
      <c r="G25" s="10"/>
      <c r="H25" s="10"/>
      <c r="I25" s="10"/>
      <c r="J25" s="10"/>
      <c r="K25" s="10"/>
      <c r="L25" s="10"/>
      <c r="M25" s="10"/>
    </row>
    <row r="26" spans="1:13" ht="12.75">
      <c r="A26" s="10"/>
      <c r="B26" s="11" t="s">
        <v>203</v>
      </c>
      <c r="C26" s="10"/>
      <c r="D26" s="746" t="s">
        <v>131</v>
      </c>
      <c r="E26" s="746"/>
      <c r="F26" s="746"/>
      <c r="G26" s="746"/>
      <c r="H26" s="746"/>
      <c r="I26" s="746"/>
      <c r="J26" s="746"/>
      <c r="K26" s="746"/>
      <c r="L26" s="746"/>
      <c r="M26" s="746"/>
    </row>
    <row r="27" spans="1:13" ht="13.5" thickBot="1">
      <c r="A27" s="10"/>
      <c r="B27" s="220"/>
      <c r="C27" s="221"/>
      <c r="D27" s="222">
        <f>VR</f>
        <v>1</v>
      </c>
      <c r="E27" s="222">
        <f>D27+1</f>
        <v>2</v>
      </c>
      <c r="F27" s="222">
        <f aca="true" t="shared" si="18" ref="F27">E27+1</f>
        <v>3</v>
      </c>
      <c r="G27" s="222">
        <f aca="true" t="shared" si="19" ref="G27">F27+1</f>
        <v>4</v>
      </c>
      <c r="H27" s="222">
        <f aca="true" t="shared" si="20" ref="H27">G27+1</f>
        <v>5</v>
      </c>
      <c r="I27" s="222">
        <f aca="true" t="shared" si="21" ref="I27">H27+1</f>
        <v>6</v>
      </c>
      <c r="J27" s="222">
        <f aca="true" t="shared" si="22" ref="J27">I27+1</f>
        <v>7</v>
      </c>
      <c r="K27" s="222">
        <f aca="true" t="shared" si="23" ref="K27">J27+1</f>
        <v>8</v>
      </c>
      <c r="L27" s="222">
        <f aca="true" t="shared" si="24" ref="L27">K27+1</f>
        <v>9</v>
      </c>
      <c r="M27" s="222">
        <f aca="true" t="shared" si="25" ref="M27">L27+1</f>
        <v>10</v>
      </c>
    </row>
    <row r="28" spans="1:13" ht="13.5" thickTop="1">
      <c r="A28" s="10"/>
      <c r="B28" s="182" t="str">
        <f>B21</f>
        <v>Nafta</v>
      </c>
      <c r="C28" s="22" t="s">
        <v>34</v>
      </c>
      <c r="D28" s="347">
        <f>'Vypocty NAFTA'!E92</f>
        <v>0.03</v>
      </c>
      <c r="E28" s="347">
        <f>'Vypocty NAFTA'!F92</f>
        <v>0</v>
      </c>
      <c r="F28" s="347">
        <f>'Vypocty NAFTA'!G92</f>
        <v>0</v>
      </c>
      <c r="G28" s="347">
        <f>'Vypocty NAFTA'!H92</f>
        <v>0</v>
      </c>
      <c r="H28" s="347">
        <f>'Vypocty NAFTA'!I92</f>
        <v>0</v>
      </c>
      <c r="I28" s="347">
        <f>'Vypocty NAFTA'!J92</f>
        <v>0</v>
      </c>
      <c r="J28" s="347">
        <f>'Vypocty NAFTA'!K92</f>
        <v>0</v>
      </c>
      <c r="K28" s="347">
        <f>'Vypocty NAFTA'!L92</f>
        <v>0</v>
      </c>
      <c r="L28" s="347">
        <f>'Vypocty NAFTA'!M92</f>
        <v>0</v>
      </c>
      <c r="M28" s="347">
        <f>'Vypocty NAFTA'!N92</f>
        <v>0</v>
      </c>
    </row>
    <row r="29" spans="1:13" ht="12.75">
      <c r="A29" s="10"/>
      <c r="B29" s="182" t="str">
        <f aca="true" t="shared" si="26" ref="B29:B30">B22</f>
        <v>CNG</v>
      </c>
      <c r="C29" s="22" t="s">
        <v>34</v>
      </c>
      <c r="D29" s="347">
        <f>'Vypocty CNG'!E92</f>
        <v>17.03</v>
      </c>
      <c r="E29" s="347">
        <f>'Vypocty CNG'!F92</f>
        <v>0</v>
      </c>
      <c r="F29" s="347">
        <f>'Vypocty CNG'!G92</f>
        <v>0</v>
      </c>
      <c r="G29" s="347">
        <f>'Vypocty CNG'!H92</f>
        <v>0</v>
      </c>
      <c r="H29" s="347">
        <f>'Vypocty CNG'!I92</f>
        <v>0</v>
      </c>
      <c r="I29" s="347">
        <f>'Vypocty CNG'!J92</f>
        <v>0</v>
      </c>
      <c r="J29" s="347">
        <f>'Vypocty CNG'!K92</f>
        <v>0</v>
      </c>
      <c r="K29" s="347">
        <f>'Vypocty CNG'!L92</f>
        <v>0</v>
      </c>
      <c r="L29" s="347">
        <f>'Vypocty CNG'!M92</f>
        <v>0</v>
      </c>
      <c r="M29" s="347">
        <f>'Vypocty CNG'!N92</f>
        <v>0</v>
      </c>
    </row>
    <row r="30" spans="1:13" ht="12.75">
      <c r="A30" s="10"/>
      <c r="B30" s="182" t="str">
        <f t="shared" si="26"/>
        <v>Elektro</v>
      </c>
      <c r="C30" s="22" t="s">
        <v>34</v>
      </c>
      <c r="D30" s="347">
        <f>'Vypocty ELEKTRO'!E92</f>
        <v>0.03</v>
      </c>
      <c r="E30" s="347">
        <f>'Vypocty ELEKTRO'!F92</f>
        <v>0</v>
      </c>
      <c r="F30" s="347">
        <f>'Vypocty ELEKTRO'!G92</f>
        <v>0</v>
      </c>
      <c r="G30" s="347">
        <f>'Vypocty ELEKTRO'!H92</f>
        <v>0</v>
      </c>
      <c r="H30" s="347">
        <f>'Vypocty ELEKTRO'!I92</f>
        <v>0</v>
      </c>
      <c r="I30" s="347">
        <f>'Vypocty ELEKTRO'!J92</f>
        <v>0</v>
      </c>
      <c r="J30" s="347">
        <f>'Vypocty ELEKTRO'!K92</f>
        <v>0</v>
      </c>
      <c r="K30" s="347">
        <f>'Vypocty ELEKTRO'!L92</f>
        <v>0</v>
      </c>
      <c r="L30" s="347">
        <f>'Vypocty ELEKTRO'!M92</f>
        <v>0</v>
      </c>
      <c r="M30" s="347">
        <f>'Vypocty ELEKTRO'!N92</f>
        <v>0</v>
      </c>
    </row>
    <row r="31" spans="1:13" ht="12.75">
      <c r="A31" s="10"/>
      <c r="B31" s="233" t="s">
        <v>138</v>
      </c>
      <c r="C31" s="234" t="s">
        <v>34</v>
      </c>
      <c r="D31" s="348">
        <f>D28*'Technicke hodnoceni'!D$20+'Beh smlouvy'!D29*'Technicke hodnoceni'!D$21+'Beh smlouvy'!D30*'Technicke hodnoceni'!D$22</f>
        <v>17.03</v>
      </c>
      <c r="E31" s="348">
        <f>E28*'Technicke hodnoceni'!E$20+'Beh smlouvy'!E29*'Technicke hodnoceni'!E$21+'Beh smlouvy'!E30*'Technicke hodnoceni'!E$22</f>
        <v>0</v>
      </c>
      <c r="F31" s="348">
        <f>F28*'Technicke hodnoceni'!F$20+'Beh smlouvy'!F29*'Technicke hodnoceni'!F$21+'Beh smlouvy'!F30*'Technicke hodnoceni'!F$22</f>
        <v>0</v>
      </c>
      <c r="G31" s="348">
        <f>G28*'Technicke hodnoceni'!G$20+'Beh smlouvy'!G29*'Technicke hodnoceni'!G$21+'Beh smlouvy'!G30*'Technicke hodnoceni'!G$22</f>
        <v>0</v>
      </c>
      <c r="H31" s="348">
        <f>H28*'Technicke hodnoceni'!H$20+'Beh smlouvy'!H29*'Technicke hodnoceni'!H$21+'Beh smlouvy'!H30*'Technicke hodnoceni'!H$22</f>
        <v>0</v>
      </c>
      <c r="I31" s="348">
        <f>I28*'Technicke hodnoceni'!I$20+'Beh smlouvy'!I29*'Technicke hodnoceni'!I$21+'Beh smlouvy'!I30*'Technicke hodnoceni'!I$22</f>
        <v>0</v>
      </c>
      <c r="J31" s="348">
        <f>J28*'Technicke hodnoceni'!J$20+'Beh smlouvy'!J29*'Technicke hodnoceni'!J$21+'Beh smlouvy'!J30*'Technicke hodnoceni'!J$22</f>
        <v>0</v>
      </c>
      <c r="K31" s="348">
        <f>K28*'Technicke hodnoceni'!K$20+'Beh smlouvy'!K29*'Technicke hodnoceni'!K$21+'Beh smlouvy'!K30*'Technicke hodnoceni'!K$22</f>
        <v>0</v>
      </c>
      <c r="L31" s="348">
        <f>L28*'Technicke hodnoceni'!L$20+'Beh smlouvy'!L29*'Technicke hodnoceni'!L$21+'Beh smlouvy'!L30*'Technicke hodnoceni'!L$22</f>
        <v>0</v>
      </c>
      <c r="M31" s="348">
        <f>M28*'Technicke hodnoceni'!M$20+'Beh smlouvy'!M29*'Technicke hodnoceni'!M$21+'Beh smlouvy'!M30*'Technicke hodnoceni'!M$22</f>
        <v>0</v>
      </c>
    </row>
    <row r="32" spans="1:13" ht="12.75">
      <c r="A32" s="10"/>
      <c r="B32" s="10"/>
      <c r="C32" s="10"/>
      <c r="D32" s="10"/>
      <c r="E32" s="10"/>
      <c r="F32" s="10"/>
      <c r="G32" s="10"/>
      <c r="H32" s="10"/>
      <c r="I32" s="10"/>
      <c r="J32" s="10"/>
      <c r="K32" s="10"/>
      <c r="L32" s="10"/>
      <c r="M32" s="10"/>
    </row>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sheetData>
  <sheetProtection password="EEFD" sheet="1" scenarios="1" formatRows="0"/>
  <mergeCells count="4">
    <mergeCell ref="D3:M3"/>
    <mergeCell ref="D12:M12"/>
    <mergeCell ref="D26:M26"/>
    <mergeCell ref="H19:I19"/>
  </mergeCells>
  <conditionalFormatting sqref="D6:M6">
    <cfRule type="expression" priority="7" dxfId="0">
      <formula>OR(D6&lt;SH,D6&gt;HH)</formula>
    </cfRule>
  </conditionalFormatting>
  <conditionalFormatting sqref="D8:M8">
    <cfRule type="expression" priority="1" dxfId="3">
      <formula>OR(D6&lt;SH,D6&gt;HH)</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80" r:id="rId1"/>
  <headerFooter>
    <oddHeader>&amp;C&amp;F</oddHead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O117"/>
  <sheetViews>
    <sheetView zoomScaleSheetLayoutView="100" workbookViewId="0" topLeftCell="A55"/>
  </sheetViews>
  <sheetFormatPr defaultColWidth="0" defaultRowHeight="12.75" customHeight="1" zeroHeight="1" outlineLevelRow="1"/>
  <cols>
    <col min="1" max="1" width="4.7109375" style="10" customWidth="1"/>
    <col min="2" max="2" width="9.140625" style="10" customWidth="1"/>
    <col min="3" max="4" width="24.28125" style="10" customWidth="1"/>
    <col min="5" max="14" width="9.140625" style="10" customWidth="1"/>
    <col min="15" max="15" width="4.7109375" style="50" customWidth="1"/>
    <col min="16" max="16384" width="9.140625" style="10" hidden="1" customWidth="1"/>
  </cols>
  <sheetData>
    <row r="1" ht="12.75" customHeight="1"/>
    <row r="2" spans="2:5" ht="12.75" customHeight="1">
      <c r="B2" s="11" t="s">
        <v>118</v>
      </c>
      <c r="E2" s="11" t="s">
        <v>105</v>
      </c>
    </row>
    <row r="3" ht="12.75" customHeight="1"/>
    <row r="4" spans="5:14" ht="12.75" customHeight="1">
      <c r="E4" s="183" t="s">
        <v>131</v>
      </c>
      <c r="F4" s="184"/>
      <c r="G4" s="184"/>
      <c r="H4" s="184"/>
      <c r="I4" s="184"/>
      <c r="J4" s="184"/>
      <c r="K4" s="184"/>
      <c r="L4" s="184"/>
      <c r="M4" s="184"/>
      <c r="N4" s="185"/>
    </row>
    <row r="5" spans="5:14" ht="12.75" customHeight="1">
      <c r="E5" s="22">
        <f>VR</f>
        <v>1</v>
      </c>
      <c r="F5" s="58">
        <f>E5+1</f>
        <v>2</v>
      </c>
      <c r="G5" s="58">
        <f aca="true" t="shared" si="0" ref="G5:N5">F5+1</f>
        <v>3</v>
      </c>
      <c r="H5" s="58">
        <f t="shared" si="0"/>
        <v>4</v>
      </c>
      <c r="I5" s="58">
        <f t="shared" si="0"/>
        <v>5</v>
      </c>
      <c r="J5" s="58">
        <f t="shared" si="0"/>
        <v>6</v>
      </c>
      <c r="K5" s="58">
        <f t="shared" si="0"/>
        <v>7</v>
      </c>
      <c r="L5" s="58">
        <f t="shared" si="0"/>
        <v>8</v>
      </c>
      <c r="M5" s="58">
        <f t="shared" si="0"/>
        <v>9</v>
      </c>
      <c r="N5" s="58">
        <f t="shared" si="0"/>
        <v>10</v>
      </c>
    </row>
    <row r="6" spans="2:14" ht="12.75">
      <c r="B6" s="11" t="str">
        <f>'Beh smlouvy'!B12</f>
        <v>Cena za Vozokm (bez přejezdů)</v>
      </c>
      <c r="D6" s="54"/>
      <c r="E6" s="194"/>
      <c r="F6" s="99"/>
      <c r="G6" s="99"/>
      <c r="H6" s="99"/>
      <c r="I6" s="99"/>
      <c r="J6" s="99"/>
      <c r="K6" s="99"/>
      <c r="L6" s="99"/>
      <c r="M6" s="99"/>
      <c r="N6" s="100"/>
    </row>
    <row r="7" spans="2:14" ht="12.75" outlineLevel="1">
      <c r="B7" s="53" t="s">
        <v>35</v>
      </c>
      <c r="C7" s="53" t="s">
        <v>65</v>
      </c>
      <c r="D7" s="54"/>
      <c r="E7" s="84"/>
      <c r="F7" s="186"/>
      <c r="G7" s="186"/>
      <c r="H7" s="186"/>
      <c r="I7" s="186"/>
      <c r="J7" s="186"/>
      <c r="K7" s="186"/>
      <c r="L7" s="186"/>
      <c r="M7" s="186"/>
      <c r="N7" s="195"/>
    </row>
    <row r="8" spans="2:14" ht="12.75" outlineLevel="1">
      <c r="B8" s="56" t="s">
        <v>22</v>
      </c>
      <c r="C8" s="47" t="s">
        <v>125</v>
      </c>
      <c r="D8" s="193"/>
      <c r="E8" s="120">
        <f>'NABIDKA DOPRAVCE'!$J11*'Vypocty indexu'!E19*('Cenova nabidka NAFTA'!$F7+IF(OR(E$33&lt;SH,E$33&gt;HH),'Cenova nabidka NAFTA'!$G7*1/(1+E$33)*IF(NaPoVo=0,0,'Beh smlouvy'!D$8/NaPoVo)+'Cenova nabidka NAFTA'!$H7*1/(1+E$33),'Cenova nabidka NAFTA'!$G7+'Cenova nabidka NAFTA'!$H7))</f>
        <v>0</v>
      </c>
      <c r="F8" s="120">
        <f>'NABIDKA DOPRAVCE'!$J11*'Vypocty indexu'!F19*('Cenova nabidka NAFTA'!$F7+IF(OR(F$33&lt;SH,F$33&gt;HH),'Cenova nabidka NAFTA'!$G7*1/(1+F$33)*IF(NaPoVo=0,0,'Beh smlouvy'!E$8/NaPoVo)+'Cenova nabidka NAFTA'!$H7*1/(1+F$33),'Cenova nabidka NAFTA'!$G7+'Cenova nabidka NAFTA'!$H7))</f>
        <v>0</v>
      </c>
      <c r="G8" s="120">
        <f>'NABIDKA DOPRAVCE'!$J11*'Vypocty indexu'!G19*('Cenova nabidka NAFTA'!$F7+IF(OR(G$33&lt;SH,G$33&gt;HH),'Cenova nabidka NAFTA'!$G7*1/(1+G$33)*IF(NaPoVo=0,0,'Beh smlouvy'!F$8/NaPoVo)+'Cenova nabidka NAFTA'!$H7*1/(1+G$33),'Cenova nabidka NAFTA'!$G7+'Cenova nabidka NAFTA'!$H7))</f>
        <v>0</v>
      </c>
      <c r="H8" s="120">
        <f>'NABIDKA DOPRAVCE'!$J11*'Vypocty indexu'!H19*('Cenova nabidka NAFTA'!$F7+IF(OR(H$33&lt;SH,H$33&gt;HH),'Cenova nabidka NAFTA'!$G7*1/(1+H$33)*IF(NaPoVo=0,0,'Beh smlouvy'!G$8/NaPoVo)+'Cenova nabidka NAFTA'!$H7*1/(1+H$33),'Cenova nabidka NAFTA'!$G7+'Cenova nabidka NAFTA'!$H7))</f>
        <v>0</v>
      </c>
      <c r="I8" s="120">
        <f>'NABIDKA DOPRAVCE'!$J11*'Vypocty indexu'!I19*('Cenova nabidka NAFTA'!$F7+IF(OR(I$33&lt;SH,I$33&gt;HH),'Cenova nabidka NAFTA'!$G7*1/(1+I$33)*IF(NaPoVo=0,0,'Beh smlouvy'!H$8/NaPoVo)+'Cenova nabidka NAFTA'!$H7*1/(1+I$33),'Cenova nabidka NAFTA'!$G7+'Cenova nabidka NAFTA'!$H7))</f>
        <v>0</v>
      </c>
      <c r="J8" s="120">
        <f>'NABIDKA DOPRAVCE'!$J11*'Vypocty indexu'!J19*('Cenova nabidka NAFTA'!$F7+IF(OR(J$33&lt;SH,J$33&gt;HH),'Cenova nabidka NAFTA'!$G7*1/(1+J$33)*IF(NaPoVo=0,0,'Beh smlouvy'!I$8/NaPoVo)+'Cenova nabidka NAFTA'!$H7*1/(1+J$33),'Cenova nabidka NAFTA'!$G7+'Cenova nabidka NAFTA'!$H7))</f>
        <v>0</v>
      </c>
      <c r="K8" s="120">
        <f>'NABIDKA DOPRAVCE'!$J11*'Vypocty indexu'!K19*('Cenova nabidka NAFTA'!$F7+IF(OR(K$33&lt;SH,K$33&gt;HH),'Cenova nabidka NAFTA'!$G7*1/(1+K$33)*IF(NaPoVo=0,0,'Beh smlouvy'!J$8/NaPoVo)+'Cenova nabidka NAFTA'!$H7*1/(1+K$33),'Cenova nabidka NAFTA'!$G7+'Cenova nabidka NAFTA'!$H7))</f>
        <v>0</v>
      </c>
      <c r="L8" s="120">
        <f>'NABIDKA DOPRAVCE'!$J11*'Vypocty indexu'!L19*('Cenova nabidka NAFTA'!$F7+IF(OR(L$33&lt;SH,L$33&gt;HH),'Cenova nabidka NAFTA'!$G7*1/(1+L$33)*IF(NaPoVo=0,0,'Beh smlouvy'!K$8/NaPoVo)+'Cenova nabidka NAFTA'!$H7*1/(1+L$33),'Cenova nabidka NAFTA'!$G7+'Cenova nabidka NAFTA'!$H7))</f>
        <v>0</v>
      </c>
      <c r="M8" s="120">
        <f>'NABIDKA DOPRAVCE'!$J11*'Vypocty indexu'!M19*('Cenova nabidka NAFTA'!$F7+IF(OR(M$33&lt;SH,M$33&gt;HH),'Cenova nabidka NAFTA'!$G7*1/(1+M$33)*IF(NaPoVo=0,0,'Beh smlouvy'!L$8/NaPoVo)+'Cenova nabidka NAFTA'!$H7*1/(1+M$33),'Cenova nabidka NAFTA'!$G7+'Cenova nabidka NAFTA'!$H7))</f>
        <v>0</v>
      </c>
      <c r="N8" s="120">
        <f>'NABIDKA DOPRAVCE'!$J11*'Vypocty indexu'!N19*('Cenova nabidka NAFTA'!$F7+IF(OR(N$33&lt;SH,N$33&gt;HH),'Cenova nabidka NAFTA'!$G7*1/(1+N$33)*IF(NaPoVo=0,0,'Beh smlouvy'!M$8/NaPoVo)+'Cenova nabidka NAFTA'!$H7*1/(1+N$33),'Cenova nabidka NAFTA'!$G7+'Cenova nabidka NAFTA'!$H7))</f>
        <v>0</v>
      </c>
    </row>
    <row r="9" spans="2:14" ht="12.75" outlineLevel="1">
      <c r="B9" s="56" t="s">
        <v>23</v>
      </c>
      <c r="C9" s="47" t="s">
        <v>126</v>
      </c>
      <c r="D9" s="193"/>
      <c r="E9" s="120">
        <f>'NABIDKA DOPRAVCE'!$J12*'Vypocty indexu'!E20*('Cenova nabidka NAFTA'!$F8+IF(OR(E$33&lt;SH,E$33&gt;HH),'Cenova nabidka NAFTA'!$G8*1/(1+E$33)*IF(NaPoVo=0,0,'Beh smlouvy'!D$8/NaPoVo)+'Cenova nabidka NAFTA'!$H8*1/(1+E$33),'Cenova nabidka NAFTA'!$G8+'Cenova nabidka NAFTA'!$H8))</f>
        <v>0</v>
      </c>
      <c r="F9" s="120">
        <f>'NABIDKA DOPRAVCE'!$J12*'Vypocty indexu'!F20*('Cenova nabidka NAFTA'!$F8+IF(OR(F$33&lt;SH,F$33&gt;HH),'Cenova nabidka NAFTA'!$G8*1/(1+F$33)*IF(NaPoVo=0,0,'Beh smlouvy'!E$8/NaPoVo)+'Cenova nabidka NAFTA'!$H8*1/(1+F$33),'Cenova nabidka NAFTA'!$G8+'Cenova nabidka NAFTA'!$H8))</f>
        <v>0</v>
      </c>
      <c r="G9" s="120">
        <f>'NABIDKA DOPRAVCE'!$J12*'Vypocty indexu'!G20*('Cenova nabidka NAFTA'!$F8+IF(OR(G$33&lt;SH,G$33&gt;HH),'Cenova nabidka NAFTA'!$G8*1/(1+G$33)*IF(NaPoVo=0,0,'Beh smlouvy'!F$8/NaPoVo)+'Cenova nabidka NAFTA'!$H8*1/(1+G$33),'Cenova nabidka NAFTA'!$G8+'Cenova nabidka NAFTA'!$H8))</f>
        <v>0</v>
      </c>
      <c r="H9" s="120">
        <f>'NABIDKA DOPRAVCE'!$J12*'Vypocty indexu'!H20*('Cenova nabidka NAFTA'!$F8+IF(OR(H$33&lt;SH,H$33&gt;HH),'Cenova nabidka NAFTA'!$G8*1/(1+H$33)*IF(NaPoVo=0,0,'Beh smlouvy'!G$8/NaPoVo)+'Cenova nabidka NAFTA'!$H8*1/(1+H$33),'Cenova nabidka NAFTA'!$G8+'Cenova nabidka NAFTA'!$H8))</f>
        <v>0</v>
      </c>
      <c r="I9" s="120">
        <f>'NABIDKA DOPRAVCE'!$J12*'Vypocty indexu'!I20*('Cenova nabidka NAFTA'!$F8+IF(OR(I$33&lt;SH,I$33&gt;HH),'Cenova nabidka NAFTA'!$G8*1/(1+I$33)*IF(NaPoVo=0,0,'Beh smlouvy'!H$8/NaPoVo)+'Cenova nabidka NAFTA'!$H8*1/(1+I$33),'Cenova nabidka NAFTA'!$G8+'Cenova nabidka NAFTA'!$H8))</f>
        <v>0</v>
      </c>
      <c r="J9" s="120">
        <f>'NABIDKA DOPRAVCE'!$J12*'Vypocty indexu'!J20*('Cenova nabidka NAFTA'!$F8+IF(OR(J$33&lt;SH,J$33&gt;HH),'Cenova nabidka NAFTA'!$G8*1/(1+J$33)*IF(NaPoVo=0,0,'Beh smlouvy'!I$8/NaPoVo)+'Cenova nabidka NAFTA'!$H8*1/(1+J$33),'Cenova nabidka NAFTA'!$G8+'Cenova nabidka NAFTA'!$H8))</f>
        <v>0</v>
      </c>
      <c r="K9" s="120">
        <f>'NABIDKA DOPRAVCE'!$J12*'Vypocty indexu'!K20*('Cenova nabidka NAFTA'!$F8+IF(OR(K$33&lt;SH,K$33&gt;HH),'Cenova nabidka NAFTA'!$G8*1/(1+K$33)*IF(NaPoVo=0,0,'Beh smlouvy'!J$8/NaPoVo)+'Cenova nabidka NAFTA'!$H8*1/(1+K$33),'Cenova nabidka NAFTA'!$G8+'Cenova nabidka NAFTA'!$H8))</f>
        <v>0</v>
      </c>
      <c r="L9" s="120">
        <f>'NABIDKA DOPRAVCE'!$J12*'Vypocty indexu'!L20*('Cenova nabidka NAFTA'!$F8+IF(OR(L$33&lt;SH,L$33&gt;HH),'Cenova nabidka NAFTA'!$G8*1/(1+L$33)*IF(NaPoVo=0,0,'Beh smlouvy'!K$8/NaPoVo)+'Cenova nabidka NAFTA'!$H8*1/(1+L$33),'Cenova nabidka NAFTA'!$G8+'Cenova nabidka NAFTA'!$H8))</f>
        <v>0</v>
      </c>
      <c r="M9" s="120">
        <f>'NABIDKA DOPRAVCE'!$J12*'Vypocty indexu'!M20*('Cenova nabidka NAFTA'!$F8+IF(OR(M$33&lt;SH,M$33&gt;HH),'Cenova nabidka NAFTA'!$G8*1/(1+M$33)*IF(NaPoVo=0,0,'Beh smlouvy'!L$8/NaPoVo)+'Cenova nabidka NAFTA'!$H8*1/(1+M$33),'Cenova nabidka NAFTA'!$G8+'Cenova nabidka NAFTA'!$H8))</f>
        <v>0</v>
      </c>
      <c r="N9" s="120">
        <f>'NABIDKA DOPRAVCE'!$J12*'Vypocty indexu'!N20*('Cenova nabidka NAFTA'!$F8+IF(OR(N$33&lt;SH,N$33&gt;HH),'Cenova nabidka NAFTA'!$G8*1/(1+N$33)*IF(NaPoVo=0,0,'Beh smlouvy'!M$8/NaPoVo)+'Cenova nabidka NAFTA'!$H8*1/(1+N$33),'Cenova nabidka NAFTA'!$G8+'Cenova nabidka NAFTA'!$H8))</f>
        <v>0</v>
      </c>
    </row>
    <row r="10" spans="2:14" ht="12.75" outlineLevel="1">
      <c r="B10" s="56" t="s">
        <v>24</v>
      </c>
      <c r="C10" s="47" t="s">
        <v>262</v>
      </c>
      <c r="D10" s="193"/>
      <c r="E10" s="120">
        <f>'NABIDKA DOPRAVCE'!$J13*'Vypocty indexu'!E21*('Cenova nabidka NAFTA'!$F9+IF(OR(E$33&lt;SH,E$33&gt;HH),'Cenova nabidka NAFTA'!$G9*1/(1+E$33)*IF(NaPoVo=0,0,'Beh smlouvy'!D$8/NaPoVo)+'Cenova nabidka NAFTA'!$H9*1/(1+E$33),'Cenova nabidka NAFTA'!$G9+'Cenova nabidka NAFTA'!$H9))</f>
        <v>0</v>
      </c>
      <c r="F10" s="120">
        <f>'NABIDKA DOPRAVCE'!$J13*'Vypocty indexu'!F21*('Cenova nabidka NAFTA'!$F9+IF(OR(F$33&lt;SH,F$33&gt;HH),'Cenova nabidka NAFTA'!$G9*1/(1+F$33)*IF(NaPoVo=0,0,'Beh smlouvy'!E$8/NaPoVo)+'Cenova nabidka NAFTA'!$H9*1/(1+F$33),'Cenova nabidka NAFTA'!$G9+'Cenova nabidka NAFTA'!$H9))</f>
        <v>0</v>
      </c>
      <c r="G10" s="120">
        <f>'NABIDKA DOPRAVCE'!$J13*'Vypocty indexu'!G21*('Cenova nabidka NAFTA'!$F9+IF(OR(G$33&lt;SH,G$33&gt;HH),'Cenova nabidka NAFTA'!$G9*1/(1+G$33)*IF(NaPoVo=0,0,'Beh smlouvy'!F$8/NaPoVo)+'Cenova nabidka NAFTA'!$H9*1/(1+G$33),'Cenova nabidka NAFTA'!$G9+'Cenova nabidka NAFTA'!$H9))</f>
        <v>0</v>
      </c>
      <c r="H10" s="120">
        <f>'NABIDKA DOPRAVCE'!$J13*'Vypocty indexu'!H21*('Cenova nabidka NAFTA'!$F9+IF(OR(H$33&lt;SH,H$33&gt;HH),'Cenova nabidka NAFTA'!$G9*1/(1+H$33)*IF(NaPoVo=0,0,'Beh smlouvy'!G$8/NaPoVo)+'Cenova nabidka NAFTA'!$H9*1/(1+H$33),'Cenova nabidka NAFTA'!$G9+'Cenova nabidka NAFTA'!$H9))</f>
        <v>0</v>
      </c>
      <c r="I10" s="120">
        <f>'NABIDKA DOPRAVCE'!$J13*'Vypocty indexu'!I21*('Cenova nabidka NAFTA'!$F9+IF(OR(I$33&lt;SH,I$33&gt;HH),'Cenova nabidka NAFTA'!$G9*1/(1+I$33)*IF(NaPoVo=0,0,'Beh smlouvy'!H$8/NaPoVo)+'Cenova nabidka NAFTA'!$H9*1/(1+I$33),'Cenova nabidka NAFTA'!$G9+'Cenova nabidka NAFTA'!$H9))</f>
        <v>0</v>
      </c>
      <c r="J10" s="120">
        <f>'NABIDKA DOPRAVCE'!$J13*'Vypocty indexu'!J21*('Cenova nabidka NAFTA'!$F9+IF(OR(J$33&lt;SH,J$33&gt;HH),'Cenova nabidka NAFTA'!$G9*1/(1+J$33)*IF(NaPoVo=0,0,'Beh smlouvy'!I$8/NaPoVo)+'Cenova nabidka NAFTA'!$H9*1/(1+J$33),'Cenova nabidka NAFTA'!$G9+'Cenova nabidka NAFTA'!$H9))</f>
        <v>0</v>
      </c>
      <c r="K10" s="120">
        <f>'NABIDKA DOPRAVCE'!$J13*'Vypocty indexu'!K21*('Cenova nabidka NAFTA'!$F9+IF(OR(K$33&lt;SH,K$33&gt;HH),'Cenova nabidka NAFTA'!$G9*1/(1+K$33)*IF(NaPoVo=0,0,'Beh smlouvy'!J$8/NaPoVo)+'Cenova nabidka NAFTA'!$H9*1/(1+K$33),'Cenova nabidka NAFTA'!$G9+'Cenova nabidka NAFTA'!$H9))</f>
        <v>0</v>
      </c>
      <c r="L10" s="120">
        <f>'NABIDKA DOPRAVCE'!$J13*'Vypocty indexu'!L21*('Cenova nabidka NAFTA'!$F9+IF(OR(L$33&lt;SH,L$33&gt;HH),'Cenova nabidka NAFTA'!$G9*1/(1+L$33)*IF(NaPoVo=0,0,'Beh smlouvy'!K$8/NaPoVo)+'Cenova nabidka NAFTA'!$H9*1/(1+L$33),'Cenova nabidka NAFTA'!$G9+'Cenova nabidka NAFTA'!$H9))</f>
        <v>0</v>
      </c>
      <c r="M10" s="120">
        <f>'NABIDKA DOPRAVCE'!$J13*'Vypocty indexu'!M21*('Cenova nabidka NAFTA'!$F9+IF(OR(M$33&lt;SH,M$33&gt;HH),'Cenova nabidka NAFTA'!$G9*1/(1+M$33)*IF(NaPoVo=0,0,'Beh smlouvy'!L$8/NaPoVo)+'Cenova nabidka NAFTA'!$H9*1/(1+M$33),'Cenova nabidka NAFTA'!$G9+'Cenova nabidka NAFTA'!$H9))</f>
        <v>0</v>
      </c>
      <c r="N10" s="120">
        <f>'NABIDKA DOPRAVCE'!$J13*'Vypocty indexu'!N21*('Cenova nabidka NAFTA'!$F9+IF(OR(N$33&lt;SH,N$33&gt;HH),'Cenova nabidka NAFTA'!$G9*1/(1+N$33)*IF(NaPoVo=0,0,'Beh smlouvy'!M$8/NaPoVo)+'Cenova nabidka NAFTA'!$H9*1/(1+N$33),'Cenova nabidka NAFTA'!$G9+'Cenova nabidka NAFTA'!$H9))</f>
        <v>0</v>
      </c>
    </row>
    <row r="11" spans="2:14" ht="12.75" outlineLevel="1">
      <c r="B11" s="56" t="s">
        <v>123</v>
      </c>
      <c r="C11" s="47" t="s">
        <v>127</v>
      </c>
      <c r="D11" s="193"/>
      <c r="E11" s="120">
        <f>'NABIDKA DOPRAVCE'!$J14*'Vypocty indexu'!E22*('Cenova nabidka NAFTA'!$F10+IF(OR(E$33&lt;SH,E$33&gt;HH),'Cenova nabidka NAFTA'!$G10*1/(1+E$33)*IF(NaPoVo=0,0,'Beh smlouvy'!D$8/NaPoVo)+'Cenova nabidka NAFTA'!$H10*1/(1+E$33),'Cenova nabidka NAFTA'!$G10+'Cenova nabidka NAFTA'!$H10))</f>
        <v>0</v>
      </c>
      <c r="F11" s="120">
        <f>'NABIDKA DOPRAVCE'!$J14*'Vypocty indexu'!F22*('Cenova nabidka NAFTA'!$F10+IF(OR(F$33&lt;SH,F$33&gt;HH),'Cenova nabidka NAFTA'!$G10*1/(1+F$33)*IF(NaPoVo=0,0,'Beh smlouvy'!E$8/NaPoVo)+'Cenova nabidka NAFTA'!$H10*1/(1+F$33),'Cenova nabidka NAFTA'!$G10+'Cenova nabidka NAFTA'!$H10))</f>
        <v>0</v>
      </c>
      <c r="G11" s="120">
        <f>'NABIDKA DOPRAVCE'!$J14*'Vypocty indexu'!G22*('Cenova nabidka NAFTA'!$F10+IF(OR(G$33&lt;SH,G$33&gt;HH),'Cenova nabidka NAFTA'!$G10*1/(1+G$33)*IF(NaPoVo=0,0,'Beh smlouvy'!F$8/NaPoVo)+'Cenova nabidka NAFTA'!$H10*1/(1+G$33),'Cenova nabidka NAFTA'!$G10+'Cenova nabidka NAFTA'!$H10))</f>
        <v>0</v>
      </c>
      <c r="H11" s="120">
        <f>'NABIDKA DOPRAVCE'!$J14*'Vypocty indexu'!H22*('Cenova nabidka NAFTA'!$F10+IF(OR(H$33&lt;SH,H$33&gt;HH),'Cenova nabidka NAFTA'!$G10*1/(1+H$33)*IF(NaPoVo=0,0,'Beh smlouvy'!G$8/NaPoVo)+'Cenova nabidka NAFTA'!$H10*1/(1+H$33),'Cenova nabidka NAFTA'!$G10+'Cenova nabidka NAFTA'!$H10))</f>
        <v>0</v>
      </c>
      <c r="I11" s="120">
        <f>'NABIDKA DOPRAVCE'!$J14*'Vypocty indexu'!I22*('Cenova nabidka NAFTA'!$F10+IF(OR(I$33&lt;SH,I$33&gt;HH),'Cenova nabidka NAFTA'!$G10*1/(1+I$33)*IF(NaPoVo=0,0,'Beh smlouvy'!H$8/NaPoVo)+'Cenova nabidka NAFTA'!$H10*1/(1+I$33),'Cenova nabidka NAFTA'!$G10+'Cenova nabidka NAFTA'!$H10))</f>
        <v>0</v>
      </c>
      <c r="J11" s="120">
        <f>'NABIDKA DOPRAVCE'!$J14*'Vypocty indexu'!J22*('Cenova nabidka NAFTA'!$F10+IF(OR(J$33&lt;SH,J$33&gt;HH),'Cenova nabidka NAFTA'!$G10*1/(1+J$33)*IF(NaPoVo=0,0,'Beh smlouvy'!I$8/NaPoVo)+'Cenova nabidka NAFTA'!$H10*1/(1+J$33),'Cenova nabidka NAFTA'!$G10+'Cenova nabidka NAFTA'!$H10))</f>
        <v>0</v>
      </c>
      <c r="K11" s="120">
        <f>'NABIDKA DOPRAVCE'!$J14*'Vypocty indexu'!K22*('Cenova nabidka NAFTA'!$F10+IF(OR(K$33&lt;SH,K$33&gt;HH),'Cenova nabidka NAFTA'!$G10*1/(1+K$33)*IF(NaPoVo=0,0,'Beh smlouvy'!J$8/NaPoVo)+'Cenova nabidka NAFTA'!$H10*1/(1+K$33),'Cenova nabidka NAFTA'!$G10+'Cenova nabidka NAFTA'!$H10))</f>
        <v>0</v>
      </c>
      <c r="L11" s="120">
        <f>'NABIDKA DOPRAVCE'!$J14*'Vypocty indexu'!L22*('Cenova nabidka NAFTA'!$F10+IF(OR(L$33&lt;SH,L$33&gt;HH),'Cenova nabidka NAFTA'!$G10*1/(1+L$33)*IF(NaPoVo=0,0,'Beh smlouvy'!K$8/NaPoVo)+'Cenova nabidka NAFTA'!$H10*1/(1+L$33),'Cenova nabidka NAFTA'!$G10+'Cenova nabidka NAFTA'!$H10))</f>
        <v>0</v>
      </c>
      <c r="M11" s="120">
        <f>'NABIDKA DOPRAVCE'!$J14*'Vypocty indexu'!M22*('Cenova nabidka NAFTA'!$F10+IF(OR(M$33&lt;SH,M$33&gt;HH),'Cenova nabidka NAFTA'!$G10*1/(1+M$33)*IF(NaPoVo=0,0,'Beh smlouvy'!L$8/NaPoVo)+'Cenova nabidka NAFTA'!$H10*1/(1+M$33),'Cenova nabidka NAFTA'!$G10+'Cenova nabidka NAFTA'!$H10))</f>
        <v>0</v>
      </c>
      <c r="N11" s="120">
        <f>'NABIDKA DOPRAVCE'!$J14*'Vypocty indexu'!N22*('Cenova nabidka NAFTA'!$F10+IF(OR(N$33&lt;SH,N$33&gt;HH),'Cenova nabidka NAFTA'!$G10*1/(1+N$33)*IF(NaPoVo=0,0,'Beh smlouvy'!M$8/NaPoVo)+'Cenova nabidka NAFTA'!$H10*1/(1+N$33),'Cenova nabidka NAFTA'!$G10+'Cenova nabidka NAFTA'!$H10))</f>
        <v>0</v>
      </c>
    </row>
    <row r="12" spans="2:14" ht="12.75" outlineLevel="1">
      <c r="B12" s="56">
        <v>12</v>
      </c>
      <c r="C12" s="47" t="s">
        <v>8</v>
      </c>
      <c r="D12" s="193"/>
      <c r="E12" s="120">
        <f>'NABIDKA DOPRAVCE'!$J15*'Vypocty indexu'!E23*('Cenova nabidka NAFTA'!$F11+IF(OR(E$33&lt;SH,E$33&gt;HH),'Cenova nabidka NAFTA'!$G11*1/(1+E$33)*IF(NaPoVo=0,0,'Beh smlouvy'!D$8/NaPoVo)+'Cenova nabidka NAFTA'!$H11*1/(1+E$33),'Cenova nabidka NAFTA'!$G11+'Cenova nabidka NAFTA'!$H11))</f>
        <v>0</v>
      </c>
      <c r="F12" s="120">
        <f>'NABIDKA DOPRAVCE'!$J15*'Vypocty indexu'!F23*('Cenova nabidka NAFTA'!$F11+IF(OR(F$33&lt;SH,F$33&gt;HH),'Cenova nabidka NAFTA'!$G11*1/(1+F$33)*IF(NaPoVo=0,0,'Beh smlouvy'!E$8/NaPoVo)+'Cenova nabidka NAFTA'!$H11*1/(1+F$33),'Cenova nabidka NAFTA'!$G11+'Cenova nabidka NAFTA'!$H11))</f>
        <v>0</v>
      </c>
      <c r="G12" s="120">
        <f>'NABIDKA DOPRAVCE'!$J15*'Vypocty indexu'!G23*('Cenova nabidka NAFTA'!$F11+IF(OR(G$33&lt;SH,G$33&gt;HH),'Cenova nabidka NAFTA'!$G11*1/(1+G$33)*IF(NaPoVo=0,0,'Beh smlouvy'!F$8/NaPoVo)+'Cenova nabidka NAFTA'!$H11*1/(1+G$33),'Cenova nabidka NAFTA'!$G11+'Cenova nabidka NAFTA'!$H11))</f>
        <v>0</v>
      </c>
      <c r="H12" s="120">
        <f>'NABIDKA DOPRAVCE'!$J15*'Vypocty indexu'!H23*('Cenova nabidka NAFTA'!$F11+IF(OR(H$33&lt;SH,H$33&gt;HH),'Cenova nabidka NAFTA'!$G11*1/(1+H$33)*IF(NaPoVo=0,0,'Beh smlouvy'!G$8/NaPoVo)+'Cenova nabidka NAFTA'!$H11*1/(1+H$33),'Cenova nabidka NAFTA'!$G11+'Cenova nabidka NAFTA'!$H11))</f>
        <v>0</v>
      </c>
      <c r="I12" s="120">
        <f>'NABIDKA DOPRAVCE'!$J15*'Vypocty indexu'!I23*('Cenova nabidka NAFTA'!$F11+IF(OR(I$33&lt;SH,I$33&gt;HH),'Cenova nabidka NAFTA'!$G11*1/(1+I$33)*IF(NaPoVo=0,0,'Beh smlouvy'!H$8/NaPoVo)+'Cenova nabidka NAFTA'!$H11*1/(1+I$33),'Cenova nabidka NAFTA'!$G11+'Cenova nabidka NAFTA'!$H11))</f>
        <v>0</v>
      </c>
      <c r="J12" s="120">
        <f>'NABIDKA DOPRAVCE'!$J15*'Vypocty indexu'!J23*('Cenova nabidka NAFTA'!$F11+IF(OR(J$33&lt;SH,J$33&gt;HH),'Cenova nabidka NAFTA'!$G11*1/(1+J$33)*IF(NaPoVo=0,0,'Beh smlouvy'!I$8/NaPoVo)+'Cenova nabidka NAFTA'!$H11*1/(1+J$33),'Cenova nabidka NAFTA'!$G11+'Cenova nabidka NAFTA'!$H11))</f>
        <v>0</v>
      </c>
      <c r="K12" s="120">
        <f>'NABIDKA DOPRAVCE'!$J15*'Vypocty indexu'!K23*('Cenova nabidka NAFTA'!$F11+IF(OR(K$33&lt;SH,K$33&gt;HH),'Cenova nabidka NAFTA'!$G11*1/(1+K$33)*IF(NaPoVo=0,0,'Beh smlouvy'!J$8/NaPoVo)+'Cenova nabidka NAFTA'!$H11*1/(1+K$33),'Cenova nabidka NAFTA'!$G11+'Cenova nabidka NAFTA'!$H11))</f>
        <v>0</v>
      </c>
      <c r="L12" s="120">
        <f>'NABIDKA DOPRAVCE'!$J15*'Vypocty indexu'!L23*('Cenova nabidka NAFTA'!$F11+IF(OR(L$33&lt;SH,L$33&gt;HH),'Cenova nabidka NAFTA'!$G11*1/(1+L$33)*IF(NaPoVo=0,0,'Beh smlouvy'!K$8/NaPoVo)+'Cenova nabidka NAFTA'!$H11*1/(1+L$33),'Cenova nabidka NAFTA'!$G11+'Cenova nabidka NAFTA'!$H11))</f>
        <v>0</v>
      </c>
      <c r="M12" s="120">
        <f>'NABIDKA DOPRAVCE'!$J15*'Vypocty indexu'!M23*('Cenova nabidka NAFTA'!$F11+IF(OR(M$33&lt;SH,M$33&gt;HH),'Cenova nabidka NAFTA'!$G11*1/(1+M$33)*IF(NaPoVo=0,0,'Beh smlouvy'!L$8/NaPoVo)+'Cenova nabidka NAFTA'!$H11*1/(1+M$33),'Cenova nabidka NAFTA'!$G11+'Cenova nabidka NAFTA'!$H11))</f>
        <v>0</v>
      </c>
      <c r="N12" s="120">
        <f>'NABIDKA DOPRAVCE'!$J15*'Vypocty indexu'!N23*('Cenova nabidka NAFTA'!$F11+IF(OR(N$33&lt;SH,N$33&gt;HH),'Cenova nabidka NAFTA'!$G11*1/(1+N$33)*IF(NaPoVo=0,0,'Beh smlouvy'!M$8/NaPoVo)+'Cenova nabidka NAFTA'!$H11*1/(1+N$33),'Cenova nabidka NAFTA'!$G11+'Cenova nabidka NAFTA'!$H11))</f>
        <v>0</v>
      </c>
    </row>
    <row r="13" spans="2:14" ht="12.75" outlineLevel="1">
      <c r="B13" s="56">
        <v>13</v>
      </c>
      <c r="C13" s="47" t="s">
        <v>9</v>
      </c>
      <c r="D13" s="193"/>
      <c r="E13" s="120">
        <f>'NABIDKA DOPRAVCE'!$J16*'Vypocty indexu'!E24*('Cenova nabidka NAFTA'!$F12+IF(OR(E$33&lt;SH,E$33&gt;HH),'Cenova nabidka NAFTA'!$G12*1/(1+E$33)*IF(NaPoVo=0,0,'Beh smlouvy'!D$8/NaPoVo)+'Cenova nabidka NAFTA'!$H12*1/(1+E$33),'Cenova nabidka NAFTA'!$G12+'Cenova nabidka NAFTA'!$H12))</f>
        <v>0</v>
      </c>
      <c r="F13" s="120">
        <f>'NABIDKA DOPRAVCE'!$J16*'Vypocty indexu'!F24*('Cenova nabidka NAFTA'!$F12+IF(OR(F$33&lt;SH,F$33&gt;HH),'Cenova nabidka NAFTA'!$G12*1/(1+F$33)*IF(NaPoVo=0,0,'Beh smlouvy'!E$8/NaPoVo)+'Cenova nabidka NAFTA'!$H12*1/(1+F$33),'Cenova nabidka NAFTA'!$G12+'Cenova nabidka NAFTA'!$H12))</f>
        <v>0</v>
      </c>
      <c r="G13" s="120">
        <f>'NABIDKA DOPRAVCE'!$J16*'Vypocty indexu'!G24*('Cenova nabidka NAFTA'!$F12+IF(OR(G$33&lt;SH,G$33&gt;HH),'Cenova nabidka NAFTA'!$G12*1/(1+G$33)*IF(NaPoVo=0,0,'Beh smlouvy'!F$8/NaPoVo)+'Cenova nabidka NAFTA'!$H12*1/(1+G$33),'Cenova nabidka NAFTA'!$G12+'Cenova nabidka NAFTA'!$H12))</f>
        <v>0</v>
      </c>
      <c r="H13" s="120">
        <f>'NABIDKA DOPRAVCE'!$J16*'Vypocty indexu'!H24*('Cenova nabidka NAFTA'!$F12+IF(OR(H$33&lt;SH,H$33&gt;HH),'Cenova nabidka NAFTA'!$G12*1/(1+H$33)*IF(NaPoVo=0,0,'Beh smlouvy'!G$8/NaPoVo)+'Cenova nabidka NAFTA'!$H12*1/(1+H$33),'Cenova nabidka NAFTA'!$G12+'Cenova nabidka NAFTA'!$H12))</f>
        <v>0</v>
      </c>
      <c r="I13" s="120">
        <f>'NABIDKA DOPRAVCE'!$J16*'Vypocty indexu'!I24*('Cenova nabidka NAFTA'!$F12+IF(OR(I$33&lt;SH,I$33&gt;HH),'Cenova nabidka NAFTA'!$G12*1/(1+I$33)*IF(NaPoVo=0,0,'Beh smlouvy'!H$8/NaPoVo)+'Cenova nabidka NAFTA'!$H12*1/(1+I$33),'Cenova nabidka NAFTA'!$G12+'Cenova nabidka NAFTA'!$H12))</f>
        <v>0</v>
      </c>
      <c r="J13" s="120">
        <f>'NABIDKA DOPRAVCE'!$J16*'Vypocty indexu'!J24*('Cenova nabidka NAFTA'!$F12+IF(OR(J$33&lt;SH,J$33&gt;HH),'Cenova nabidka NAFTA'!$G12*1/(1+J$33)*IF(NaPoVo=0,0,'Beh smlouvy'!I$8/NaPoVo)+'Cenova nabidka NAFTA'!$H12*1/(1+J$33),'Cenova nabidka NAFTA'!$G12+'Cenova nabidka NAFTA'!$H12))</f>
        <v>0</v>
      </c>
      <c r="K13" s="120">
        <f>'NABIDKA DOPRAVCE'!$J16*'Vypocty indexu'!K24*('Cenova nabidka NAFTA'!$F12+IF(OR(K$33&lt;SH,K$33&gt;HH),'Cenova nabidka NAFTA'!$G12*1/(1+K$33)*IF(NaPoVo=0,0,'Beh smlouvy'!J$8/NaPoVo)+'Cenova nabidka NAFTA'!$H12*1/(1+K$33),'Cenova nabidka NAFTA'!$G12+'Cenova nabidka NAFTA'!$H12))</f>
        <v>0</v>
      </c>
      <c r="L13" s="120">
        <f>'NABIDKA DOPRAVCE'!$J16*'Vypocty indexu'!L24*('Cenova nabidka NAFTA'!$F12+IF(OR(L$33&lt;SH,L$33&gt;HH),'Cenova nabidka NAFTA'!$G12*1/(1+L$33)*IF(NaPoVo=0,0,'Beh smlouvy'!K$8/NaPoVo)+'Cenova nabidka NAFTA'!$H12*1/(1+L$33),'Cenova nabidka NAFTA'!$G12+'Cenova nabidka NAFTA'!$H12))</f>
        <v>0</v>
      </c>
      <c r="M13" s="120">
        <f>'NABIDKA DOPRAVCE'!$J16*'Vypocty indexu'!M24*('Cenova nabidka NAFTA'!$F12+IF(OR(M$33&lt;SH,M$33&gt;HH),'Cenova nabidka NAFTA'!$G12*1/(1+M$33)*IF(NaPoVo=0,0,'Beh smlouvy'!L$8/NaPoVo)+'Cenova nabidka NAFTA'!$H12*1/(1+M$33),'Cenova nabidka NAFTA'!$G12+'Cenova nabidka NAFTA'!$H12))</f>
        <v>0</v>
      </c>
      <c r="N13" s="120">
        <f>'NABIDKA DOPRAVCE'!$J16*'Vypocty indexu'!N24*('Cenova nabidka NAFTA'!$F12+IF(OR(N$33&lt;SH,N$33&gt;HH),'Cenova nabidka NAFTA'!$G12*1/(1+N$33)*IF(NaPoVo=0,0,'Beh smlouvy'!M$8/NaPoVo)+'Cenova nabidka NAFTA'!$H12*1/(1+N$33),'Cenova nabidka NAFTA'!$G12+'Cenova nabidka NAFTA'!$H12))</f>
        <v>0</v>
      </c>
    </row>
    <row r="14" spans="2:14" ht="12.75" outlineLevel="1">
      <c r="B14" s="56" t="s">
        <v>28</v>
      </c>
      <c r="C14" s="47" t="s">
        <v>59</v>
      </c>
      <c r="D14" s="193"/>
      <c r="E14" s="120">
        <f>'NABIDKA DOPRAVCE'!$J17*'Vypocty indexu'!E25*('Cenova nabidka NAFTA'!$F13+IF(OR(E$33&lt;SH,E$33&gt;HH),'Cenova nabidka NAFTA'!$G13*1/(1+E$33)*IF(NaPoVo=0,0,'Beh smlouvy'!D$8/NaPoVo)+'Cenova nabidka NAFTA'!$H13*1/(1+E$33),'Cenova nabidka NAFTA'!$G13+'Cenova nabidka NAFTA'!$H13))</f>
        <v>0</v>
      </c>
      <c r="F14" s="120">
        <f>'NABIDKA DOPRAVCE'!$J17*'Vypocty indexu'!F25*('Cenova nabidka NAFTA'!$F13+IF(OR(F$33&lt;SH,F$33&gt;HH),'Cenova nabidka NAFTA'!$G13*1/(1+F$33)*IF(NaPoVo=0,0,'Beh smlouvy'!E$8/NaPoVo)+'Cenova nabidka NAFTA'!$H13*1/(1+F$33),'Cenova nabidka NAFTA'!$G13+'Cenova nabidka NAFTA'!$H13))</f>
        <v>0</v>
      </c>
      <c r="G14" s="120">
        <f>'NABIDKA DOPRAVCE'!$J17*'Vypocty indexu'!G25*('Cenova nabidka NAFTA'!$F13+IF(OR(G$33&lt;SH,G$33&gt;HH),'Cenova nabidka NAFTA'!$G13*1/(1+G$33)*IF(NaPoVo=0,0,'Beh smlouvy'!F$8/NaPoVo)+'Cenova nabidka NAFTA'!$H13*1/(1+G$33),'Cenova nabidka NAFTA'!$G13+'Cenova nabidka NAFTA'!$H13))</f>
        <v>0</v>
      </c>
      <c r="H14" s="120">
        <f>'NABIDKA DOPRAVCE'!$J17*'Vypocty indexu'!H25*('Cenova nabidka NAFTA'!$F13+IF(OR(H$33&lt;SH,H$33&gt;HH),'Cenova nabidka NAFTA'!$G13*1/(1+H$33)*IF(NaPoVo=0,0,'Beh smlouvy'!G$8/NaPoVo)+'Cenova nabidka NAFTA'!$H13*1/(1+H$33),'Cenova nabidka NAFTA'!$G13+'Cenova nabidka NAFTA'!$H13))</f>
        <v>0</v>
      </c>
      <c r="I14" s="120">
        <f>'NABIDKA DOPRAVCE'!$J17*'Vypocty indexu'!I25*('Cenova nabidka NAFTA'!$F13+IF(OR(I$33&lt;SH,I$33&gt;HH),'Cenova nabidka NAFTA'!$G13*1/(1+I$33)*IF(NaPoVo=0,0,'Beh smlouvy'!H$8/NaPoVo)+'Cenova nabidka NAFTA'!$H13*1/(1+I$33),'Cenova nabidka NAFTA'!$G13+'Cenova nabidka NAFTA'!$H13))</f>
        <v>0</v>
      </c>
      <c r="J14" s="120">
        <f>'NABIDKA DOPRAVCE'!$J17*'Vypocty indexu'!J25*('Cenova nabidka NAFTA'!$F13+IF(OR(J$33&lt;SH,J$33&gt;HH),'Cenova nabidka NAFTA'!$G13*1/(1+J$33)*IF(NaPoVo=0,0,'Beh smlouvy'!I$8/NaPoVo)+'Cenova nabidka NAFTA'!$H13*1/(1+J$33),'Cenova nabidka NAFTA'!$G13+'Cenova nabidka NAFTA'!$H13))</f>
        <v>0</v>
      </c>
      <c r="K14" s="120">
        <f>'NABIDKA DOPRAVCE'!$J17*'Vypocty indexu'!K25*('Cenova nabidka NAFTA'!$F13+IF(OR(K$33&lt;SH,K$33&gt;HH),'Cenova nabidka NAFTA'!$G13*1/(1+K$33)*IF(NaPoVo=0,0,'Beh smlouvy'!J$8/NaPoVo)+'Cenova nabidka NAFTA'!$H13*1/(1+K$33),'Cenova nabidka NAFTA'!$G13+'Cenova nabidka NAFTA'!$H13))</f>
        <v>0</v>
      </c>
      <c r="L14" s="120">
        <f>'NABIDKA DOPRAVCE'!$J17*'Vypocty indexu'!L25*('Cenova nabidka NAFTA'!$F13+IF(OR(L$33&lt;SH,L$33&gt;HH),'Cenova nabidka NAFTA'!$G13*1/(1+L$33)*IF(NaPoVo=0,0,'Beh smlouvy'!K$8/NaPoVo)+'Cenova nabidka NAFTA'!$H13*1/(1+L$33),'Cenova nabidka NAFTA'!$G13+'Cenova nabidka NAFTA'!$H13))</f>
        <v>0</v>
      </c>
      <c r="M14" s="120">
        <f>'NABIDKA DOPRAVCE'!$J17*'Vypocty indexu'!M25*('Cenova nabidka NAFTA'!$F13+IF(OR(M$33&lt;SH,M$33&gt;HH),'Cenova nabidka NAFTA'!$G13*1/(1+M$33)*IF(NaPoVo=0,0,'Beh smlouvy'!L$8/NaPoVo)+'Cenova nabidka NAFTA'!$H13*1/(1+M$33),'Cenova nabidka NAFTA'!$G13+'Cenova nabidka NAFTA'!$H13))</f>
        <v>0</v>
      </c>
      <c r="N14" s="120">
        <f>'NABIDKA DOPRAVCE'!$J17*'Vypocty indexu'!N25*('Cenova nabidka NAFTA'!$F13+IF(OR(N$33&lt;SH,N$33&gt;HH),'Cenova nabidka NAFTA'!$G13*1/(1+N$33)*IF(NaPoVo=0,0,'Beh smlouvy'!M$8/NaPoVo)+'Cenova nabidka NAFTA'!$H13*1/(1+N$33),'Cenova nabidka NAFTA'!$G13+'Cenova nabidka NAFTA'!$H13))</f>
        <v>0</v>
      </c>
    </row>
    <row r="15" spans="2:14" ht="12.75" outlineLevel="1">
      <c r="B15" s="56" t="s">
        <v>29</v>
      </c>
      <c r="C15" s="47" t="s">
        <v>60</v>
      </c>
      <c r="D15" s="193"/>
      <c r="E15" s="120">
        <f>'NABIDKA DOPRAVCE'!$J18*'Vypocty indexu'!E26*('Cenova nabidka NAFTA'!$F14+IF(OR(E$33&lt;SH,E$33&gt;HH),'Cenova nabidka NAFTA'!$G14*1/(1+E$33)*IF(NaPoVo=0,0,'Beh smlouvy'!D$8/NaPoVo)+'Cenova nabidka NAFTA'!$H14*1/(1+E$33),'Cenova nabidka NAFTA'!$G14+'Cenova nabidka NAFTA'!$H14))</f>
        <v>0</v>
      </c>
      <c r="F15" s="120">
        <f>'NABIDKA DOPRAVCE'!$J18*'Vypocty indexu'!F26*('Cenova nabidka NAFTA'!$F14+IF(OR(F$33&lt;SH,F$33&gt;HH),'Cenova nabidka NAFTA'!$G14*1/(1+F$33)*IF(NaPoVo=0,0,'Beh smlouvy'!E$8/NaPoVo)+'Cenova nabidka NAFTA'!$H14*1/(1+F$33),'Cenova nabidka NAFTA'!$G14+'Cenova nabidka NAFTA'!$H14))</f>
        <v>0</v>
      </c>
      <c r="G15" s="120">
        <f>'NABIDKA DOPRAVCE'!$J18*'Vypocty indexu'!G26*('Cenova nabidka NAFTA'!$F14+IF(OR(G$33&lt;SH,G$33&gt;HH),'Cenova nabidka NAFTA'!$G14*1/(1+G$33)*IF(NaPoVo=0,0,'Beh smlouvy'!F$8/NaPoVo)+'Cenova nabidka NAFTA'!$H14*1/(1+G$33),'Cenova nabidka NAFTA'!$G14+'Cenova nabidka NAFTA'!$H14))</f>
        <v>0</v>
      </c>
      <c r="H15" s="120">
        <f>'NABIDKA DOPRAVCE'!$J18*'Vypocty indexu'!H26*('Cenova nabidka NAFTA'!$F14+IF(OR(H$33&lt;SH,H$33&gt;HH),'Cenova nabidka NAFTA'!$G14*1/(1+H$33)*IF(NaPoVo=0,0,'Beh smlouvy'!G$8/NaPoVo)+'Cenova nabidka NAFTA'!$H14*1/(1+H$33),'Cenova nabidka NAFTA'!$G14+'Cenova nabidka NAFTA'!$H14))</f>
        <v>0</v>
      </c>
      <c r="I15" s="120">
        <f>'NABIDKA DOPRAVCE'!$J18*'Vypocty indexu'!I26*('Cenova nabidka NAFTA'!$F14+IF(OR(I$33&lt;SH,I$33&gt;HH),'Cenova nabidka NAFTA'!$G14*1/(1+I$33)*IF(NaPoVo=0,0,'Beh smlouvy'!H$8/NaPoVo)+'Cenova nabidka NAFTA'!$H14*1/(1+I$33),'Cenova nabidka NAFTA'!$G14+'Cenova nabidka NAFTA'!$H14))</f>
        <v>0</v>
      </c>
      <c r="J15" s="120">
        <f>'NABIDKA DOPRAVCE'!$J18*'Vypocty indexu'!J26*('Cenova nabidka NAFTA'!$F14+IF(OR(J$33&lt;SH,J$33&gt;HH),'Cenova nabidka NAFTA'!$G14*1/(1+J$33)*IF(NaPoVo=0,0,'Beh smlouvy'!I$8/NaPoVo)+'Cenova nabidka NAFTA'!$H14*1/(1+J$33),'Cenova nabidka NAFTA'!$G14+'Cenova nabidka NAFTA'!$H14))</f>
        <v>0</v>
      </c>
      <c r="K15" s="120">
        <f>'NABIDKA DOPRAVCE'!$J18*'Vypocty indexu'!K26*('Cenova nabidka NAFTA'!$F14+IF(OR(K$33&lt;SH,K$33&gt;HH),'Cenova nabidka NAFTA'!$G14*1/(1+K$33)*IF(NaPoVo=0,0,'Beh smlouvy'!J$8/NaPoVo)+'Cenova nabidka NAFTA'!$H14*1/(1+K$33),'Cenova nabidka NAFTA'!$G14+'Cenova nabidka NAFTA'!$H14))</f>
        <v>0</v>
      </c>
      <c r="L15" s="120">
        <f>'NABIDKA DOPRAVCE'!$J18*'Vypocty indexu'!L26*('Cenova nabidka NAFTA'!$F14+IF(OR(L$33&lt;SH,L$33&gt;HH),'Cenova nabidka NAFTA'!$G14*1/(1+L$33)*IF(NaPoVo=0,0,'Beh smlouvy'!K$8/NaPoVo)+'Cenova nabidka NAFTA'!$H14*1/(1+L$33),'Cenova nabidka NAFTA'!$G14+'Cenova nabidka NAFTA'!$H14))</f>
        <v>0</v>
      </c>
      <c r="M15" s="120">
        <f>'NABIDKA DOPRAVCE'!$J18*'Vypocty indexu'!M26*('Cenova nabidka NAFTA'!$F14+IF(OR(M$33&lt;SH,M$33&gt;HH),'Cenova nabidka NAFTA'!$G14*1/(1+M$33)*IF(NaPoVo=0,0,'Beh smlouvy'!L$8/NaPoVo)+'Cenova nabidka NAFTA'!$H14*1/(1+M$33),'Cenova nabidka NAFTA'!$G14+'Cenova nabidka NAFTA'!$H14))</f>
        <v>0</v>
      </c>
      <c r="N15" s="120">
        <f>'NABIDKA DOPRAVCE'!$J18*'Vypocty indexu'!N26*('Cenova nabidka NAFTA'!$F14+IF(OR(N$33&lt;SH,N$33&gt;HH),'Cenova nabidka NAFTA'!$G14*1/(1+N$33)*IF(NaPoVo=0,0,'Beh smlouvy'!M$8/NaPoVo)+'Cenova nabidka NAFTA'!$H14*1/(1+N$33),'Cenova nabidka NAFTA'!$G14+'Cenova nabidka NAFTA'!$H14))</f>
        <v>0</v>
      </c>
    </row>
    <row r="16" spans="2:14" ht="12.75" outlineLevel="1">
      <c r="B16" s="56">
        <v>15</v>
      </c>
      <c r="C16" s="47" t="s">
        <v>42</v>
      </c>
      <c r="D16" s="193"/>
      <c r="E16" s="120">
        <f>'NABIDKA DOPRAVCE'!$J19*'Vypocty indexu'!E27*('Cenova nabidka NAFTA'!$F15+IF(OR(E$33&lt;SH,E$33&gt;HH),'Cenova nabidka NAFTA'!$G15*1/(1+E$33)*IF(NaPoVo=0,0,'Beh smlouvy'!D$8/NaPoVo)+'Cenova nabidka NAFTA'!$H15*1/(1+E$33),'Cenova nabidka NAFTA'!$G15+'Cenova nabidka NAFTA'!$H15))</f>
        <v>0</v>
      </c>
      <c r="F16" s="120">
        <f>'NABIDKA DOPRAVCE'!$J19*'Vypocty indexu'!F27*('Cenova nabidka NAFTA'!$F15+IF(OR(F$33&lt;SH,F$33&gt;HH),'Cenova nabidka NAFTA'!$G15*1/(1+F$33)*IF(NaPoVo=0,0,'Beh smlouvy'!E$8/NaPoVo)+'Cenova nabidka NAFTA'!$H15*1/(1+F$33),'Cenova nabidka NAFTA'!$G15+'Cenova nabidka NAFTA'!$H15))</f>
        <v>0</v>
      </c>
      <c r="G16" s="120">
        <f>'NABIDKA DOPRAVCE'!$J19*'Vypocty indexu'!G27*('Cenova nabidka NAFTA'!$F15+IF(OR(G$33&lt;SH,G$33&gt;HH),'Cenova nabidka NAFTA'!$G15*1/(1+G$33)*IF(NaPoVo=0,0,'Beh smlouvy'!F$8/NaPoVo)+'Cenova nabidka NAFTA'!$H15*1/(1+G$33),'Cenova nabidka NAFTA'!$G15+'Cenova nabidka NAFTA'!$H15))</f>
        <v>0</v>
      </c>
      <c r="H16" s="120">
        <f>'NABIDKA DOPRAVCE'!$J19*'Vypocty indexu'!H27*('Cenova nabidka NAFTA'!$F15+IF(OR(H$33&lt;SH,H$33&gt;HH),'Cenova nabidka NAFTA'!$G15*1/(1+H$33)*IF(NaPoVo=0,0,'Beh smlouvy'!G$8/NaPoVo)+'Cenova nabidka NAFTA'!$H15*1/(1+H$33),'Cenova nabidka NAFTA'!$G15+'Cenova nabidka NAFTA'!$H15))</f>
        <v>0</v>
      </c>
      <c r="I16" s="120">
        <f>'NABIDKA DOPRAVCE'!$J19*'Vypocty indexu'!I27*('Cenova nabidka NAFTA'!$F15+IF(OR(I$33&lt;SH,I$33&gt;HH),'Cenova nabidka NAFTA'!$G15*1/(1+I$33)*IF(NaPoVo=0,0,'Beh smlouvy'!H$8/NaPoVo)+'Cenova nabidka NAFTA'!$H15*1/(1+I$33),'Cenova nabidka NAFTA'!$G15+'Cenova nabidka NAFTA'!$H15))</f>
        <v>0</v>
      </c>
      <c r="J16" s="120">
        <f>'NABIDKA DOPRAVCE'!$J19*'Vypocty indexu'!J27*('Cenova nabidka NAFTA'!$F15+IF(OR(J$33&lt;SH,J$33&gt;HH),'Cenova nabidka NAFTA'!$G15*1/(1+J$33)*IF(NaPoVo=0,0,'Beh smlouvy'!I$8/NaPoVo)+'Cenova nabidka NAFTA'!$H15*1/(1+J$33),'Cenova nabidka NAFTA'!$G15+'Cenova nabidka NAFTA'!$H15))</f>
        <v>0</v>
      </c>
      <c r="K16" s="120">
        <f>'NABIDKA DOPRAVCE'!$J19*'Vypocty indexu'!K27*('Cenova nabidka NAFTA'!$F15+IF(OR(K$33&lt;SH,K$33&gt;HH),'Cenova nabidka NAFTA'!$G15*1/(1+K$33)*IF(NaPoVo=0,0,'Beh smlouvy'!J$8/NaPoVo)+'Cenova nabidka NAFTA'!$H15*1/(1+K$33),'Cenova nabidka NAFTA'!$G15+'Cenova nabidka NAFTA'!$H15))</f>
        <v>0</v>
      </c>
      <c r="L16" s="120">
        <f>'NABIDKA DOPRAVCE'!$J19*'Vypocty indexu'!L27*('Cenova nabidka NAFTA'!$F15+IF(OR(L$33&lt;SH,L$33&gt;HH),'Cenova nabidka NAFTA'!$G15*1/(1+L$33)*IF(NaPoVo=0,0,'Beh smlouvy'!K$8/NaPoVo)+'Cenova nabidka NAFTA'!$H15*1/(1+L$33),'Cenova nabidka NAFTA'!$G15+'Cenova nabidka NAFTA'!$H15))</f>
        <v>0</v>
      </c>
      <c r="M16" s="120">
        <f>'NABIDKA DOPRAVCE'!$J19*'Vypocty indexu'!M27*('Cenova nabidka NAFTA'!$F15+IF(OR(M$33&lt;SH,M$33&gt;HH),'Cenova nabidka NAFTA'!$G15*1/(1+M$33)*IF(NaPoVo=0,0,'Beh smlouvy'!L$8/NaPoVo)+'Cenova nabidka NAFTA'!$H15*1/(1+M$33),'Cenova nabidka NAFTA'!$G15+'Cenova nabidka NAFTA'!$H15))</f>
        <v>0</v>
      </c>
      <c r="N16" s="120">
        <f>'NABIDKA DOPRAVCE'!$J19*'Vypocty indexu'!N27*('Cenova nabidka NAFTA'!$F15+IF(OR(N$33&lt;SH,N$33&gt;HH),'Cenova nabidka NAFTA'!$G15*1/(1+N$33)*IF(NaPoVo=0,0,'Beh smlouvy'!M$8/NaPoVo)+'Cenova nabidka NAFTA'!$H15*1/(1+N$33),'Cenova nabidka NAFTA'!$G15+'Cenova nabidka NAFTA'!$H15))</f>
        <v>0</v>
      </c>
    </row>
    <row r="17" spans="2:14" ht="12.75" outlineLevel="1">
      <c r="B17" s="56" t="s">
        <v>30</v>
      </c>
      <c r="C17" s="47" t="s">
        <v>61</v>
      </c>
      <c r="D17" s="193"/>
      <c r="E17" s="120">
        <f>'NABIDKA DOPRAVCE'!$J20*'Vypocty indexu'!E28*('Cenova nabidka NAFTA'!$F16+IF(OR(E$33&lt;SH,E$33&gt;HH),'Cenova nabidka NAFTA'!$G16*1/(1+E$33)*IF(NaPoVo=0,0,'Beh smlouvy'!D$8/NaPoVo)+'Cenova nabidka NAFTA'!$H16*1/(1+E$33),'Cenova nabidka NAFTA'!$G16+'Cenova nabidka NAFTA'!$H16))</f>
        <v>0</v>
      </c>
      <c r="F17" s="120">
        <f>'NABIDKA DOPRAVCE'!$J20*'Vypocty indexu'!F28*('Cenova nabidka NAFTA'!$F16+IF(OR(F$33&lt;SH,F$33&gt;HH),'Cenova nabidka NAFTA'!$G16*1/(1+F$33)*IF(NaPoVo=0,0,'Beh smlouvy'!E$8/NaPoVo)+'Cenova nabidka NAFTA'!$H16*1/(1+F$33),'Cenova nabidka NAFTA'!$G16+'Cenova nabidka NAFTA'!$H16))</f>
        <v>0</v>
      </c>
      <c r="G17" s="120">
        <f>'NABIDKA DOPRAVCE'!$J20*'Vypocty indexu'!G28*('Cenova nabidka NAFTA'!$F16+IF(OR(G$33&lt;SH,G$33&gt;HH),'Cenova nabidka NAFTA'!$G16*1/(1+G$33)*IF(NaPoVo=0,0,'Beh smlouvy'!F$8/NaPoVo)+'Cenova nabidka NAFTA'!$H16*1/(1+G$33),'Cenova nabidka NAFTA'!$G16+'Cenova nabidka NAFTA'!$H16))</f>
        <v>0</v>
      </c>
      <c r="H17" s="120">
        <f>'NABIDKA DOPRAVCE'!$J20*'Vypocty indexu'!H28*('Cenova nabidka NAFTA'!$F16+IF(OR(H$33&lt;SH,H$33&gt;HH),'Cenova nabidka NAFTA'!$G16*1/(1+H$33)*IF(NaPoVo=0,0,'Beh smlouvy'!G$8/NaPoVo)+'Cenova nabidka NAFTA'!$H16*1/(1+H$33),'Cenova nabidka NAFTA'!$G16+'Cenova nabidka NAFTA'!$H16))</f>
        <v>0</v>
      </c>
      <c r="I17" s="120">
        <f>'NABIDKA DOPRAVCE'!$J20*'Vypocty indexu'!I28*('Cenova nabidka NAFTA'!$F16+IF(OR(I$33&lt;SH,I$33&gt;HH),'Cenova nabidka NAFTA'!$G16*1/(1+I$33)*IF(NaPoVo=0,0,'Beh smlouvy'!H$8/NaPoVo)+'Cenova nabidka NAFTA'!$H16*1/(1+I$33),'Cenova nabidka NAFTA'!$G16+'Cenova nabidka NAFTA'!$H16))</f>
        <v>0</v>
      </c>
      <c r="J17" s="120">
        <f>'NABIDKA DOPRAVCE'!$J20*'Vypocty indexu'!J28*('Cenova nabidka NAFTA'!$F16+IF(OR(J$33&lt;SH,J$33&gt;HH),'Cenova nabidka NAFTA'!$G16*1/(1+J$33)*IF(NaPoVo=0,0,'Beh smlouvy'!I$8/NaPoVo)+'Cenova nabidka NAFTA'!$H16*1/(1+J$33),'Cenova nabidka NAFTA'!$G16+'Cenova nabidka NAFTA'!$H16))</f>
        <v>0</v>
      </c>
      <c r="K17" s="120">
        <f>'NABIDKA DOPRAVCE'!$J20*'Vypocty indexu'!K28*('Cenova nabidka NAFTA'!$F16+IF(OR(K$33&lt;SH,K$33&gt;HH),'Cenova nabidka NAFTA'!$G16*1/(1+K$33)*IF(NaPoVo=0,0,'Beh smlouvy'!J$8/NaPoVo)+'Cenova nabidka NAFTA'!$H16*1/(1+K$33),'Cenova nabidka NAFTA'!$G16+'Cenova nabidka NAFTA'!$H16))</f>
        <v>0</v>
      </c>
      <c r="L17" s="120">
        <f>'NABIDKA DOPRAVCE'!$J20*'Vypocty indexu'!L28*('Cenova nabidka NAFTA'!$F16+IF(OR(L$33&lt;SH,L$33&gt;HH),'Cenova nabidka NAFTA'!$G16*1/(1+L$33)*IF(NaPoVo=0,0,'Beh smlouvy'!K$8/NaPoVo)+'Cenova nabidka NAFTA'!$H16*1/(1+L$33),'Cenova nabidka NAFTA'!$G16+'Cenova nabidka NAFTA'!$H16))</f>
        <v>0</v>
      </c>
      <c r="M17" s="120">
        <f>'NABIDKA DOPRAVCE'!$J20*'Vypocty indexu'!M28*('Cenova nabidka NAFTA'!$F16+IF(OR(M$33&lt;SH,M$33&gt;HH),'Cenova nabidka NAFTA'!$G16*1/(1+M$33)*IF(NaPoVo=0,0,'Beh smlouvy'!L$8/NaPoVo)+'Cenova nabidka NAFTA'!$H16*1/(1+M$33),'Cenova nabidka NAFTA'!$G16+'Cenova nabidka NAFTA'!$H16))</f>
        <v>0</v>
      </c>
      <c r="N17" s="120">
        <f>'NABIDKA DOPRAVCE'!$J20*'Vypocty indexu'!N28*('Cenova nabidka NAFTA'!$F16+IF(OR(N$33&lt;SH,N$33&gt;HH),'Cenova nabidka NAFTA'!$G16*1/(1+N$33)*IF(NaPoVo=0,0,'Beh smlouvy'!M$8/NaPoVo)+'Cenova nabidka NAFTA'!$H16*1/(1+N$33),'Cenova nabidka NAFTA'!$G16+'Cenova nabidka NAFTA'!$H16))</f>
        <v>0</v>
      </c>
    </row>
    <row r="18" spans="2:14" ht="12.75" outlineLevel="1">
      <c r="B18" s="56" t="s">
        <v>31</v>
      </c>
      <c r="C18" s="47" t="s">
        <v>62</v>
      </c>
      <c r="D18" s="193"/>
      <c r="E18" s="120">
        <f>'NABIDKA DOPRAVCE'!$J21*'Vypocty indexu'!E29*('Cenova nabidka NAFTA'!$F17+IF(OR(E$33&lt;SH,E$33&gt;HH),'Cenova nabidka NAFTA'!$G17*1/(1+E$33)*IF(NaPoVo=0,0,'Beh smlouvy'!D$8/NaPoVo)+'Cenova nabidka NAFTA'!$H17*1/(1+E$33),'Cenova nabidka NAFTA'!$G17+'Cenova nabidka NAFTA'!$H17))</f>
        <v>0</v>
      </c>
      <c r="F18" s="120">
        <f>'NABIDKA DOPRAVCE'!$J21*'Vypocty indexu'!F29*('Cenova nabidka NAFTA'!$F17+IF(OR(F$33&lt;SH,F$33&gt;HH),'Cenova nabidka NAFTA'!$G17*1/(1+F$33)*IF(NaPoVo=0,0,'Beh smlouvy'!E$8/NaPoVo)+'Cenova nabidka NAFTA'!$H17*1/(1+F$33),'Cenova nabidka NAFTA'!$G17+'Cenova nabidka NAFTA'!$H17))</f>
        <v>0</v>
      </c>
      <c r="G18" s="120">
        <f>'NABIDKA DOPRAVCE'!$J21*'Vypocty indexu'!G29*('Cenova nabidka NAFTA'!$F17+IF(OR(G$33&lt;SH,G$33&gt;HH),'Cenova nabidka NAFTA'!$G17*1/(1+G$33)*IF(NaPoVo=0,0,'Beh smlouvy'!F$8/NaPoVo)+'Cenova nabidka NAFTA'!$H17*1/(1+G$33),'Cenova nabidka NAFTA'!$G17+'Cenova nabidka NAFTA'!$H17))</f>
        <v>0</v>
      </c>
      <c r="H18" s="120">
        <f>'NABIDKA DOPRAVCE'!$J21*'Vypocty indexu'!H29*('Cenova nabidka NAFTA'!$F17+IF(OR(H$33&lt;SH,H$33&gt;HH),'Cenova nabidka NAFTA'!$G17*1/(1+H$33)*IF(NaPoVo=0,0,'Beh smlouvy'!G$8/NaPoVo)+'Cenova nabidka NAFTA'!$H17*1/(1+H$33),'Cenova nabidka NAFTA'!$G17+'Cenova nabidka NAFTA'!$H17))</f>
        <v>0</v>
      </c>
      <c r="I18" s="120">
        <f>'NABIDKA DOPRAVCE'!$J21*'Vypocty indexu'!I29*('Cenova nabidka NAFTA'!$F17+IF(OR(I$33&lt;SH,I$33&gt;HH),'Cenova nabidka NAFTA'!$G17*1/(1+I$33)*IF(NaPoVo=0,0,'Beh smlouvy'!H$8/NaPoVo)+'Cenova nabidka NAFTA'!$H17*1/(1+I$33),'Cenova nabidka NAFTA'!$G17+'Cenova nabidka NAFTA'!$H17))</f>
        <v>0</v>
      </c>
      <c r="J18" s="120">
        <f>'NABIDKA DOPRAVCE'!$J21*'Vypocty indexu'!J29*('Cenova nabidka NAFTA'!$F17+IF(OR(J$33&lt;SH,J$33&gt;HH),'Cenova nabidka NAFTA'!$G17*1/(1+J$33)*IF(NaPoVo=0,0,'Beh smlouvy'!I$8/NaPoVo)+'Cenova nabidka NAFTA'!$H17*1/(1+J$33),'Cenova nabidka NAFTA'!$G17+'Cenova nabidka NAFTA'!$H17))</f>
        <v>0</v>
      </c>
      <c r="K18" s="120">
        <f>'NABIDKA DOPRAVCE'!$J21*'Vypocty indexu'!K29*('Cenova nabidka NAFTA'!$F17+IF(OR(K$33&lt;SH,K$33&gt;HH),'Cenova nabidka NAFTA'!$G17*1/(1+K$33)*IF(NaPoVo=0,0,'Beh smlouvy'!J$8/NaPoVo)+'Cenova nabidka NAFTA'!$H17*1/(1+K$33),'Cenova nabidka NAFTA'!$G17+'Cenova nabidka NAFTA'!$H17))</f>
        <v>0</v>
      </c>
      <c r="L18" s="120">
        <f>'NABIDKA DOPRAVCE'!$J21*'Vypocty indexu'!L29*('Cenova nabidka NAFTA'!$F17+IF(OR(L$33&lt;SH,L$33&gt;HH),'Cenova nabidka NAFTA'!$G17*1/(1+L$33)*IF(NaPoVo=0,0,'Beh smlouvy'!K$8/NaPoVo)+'Cenova nabidka NAFTA'!$H17*1/(1+L$33),'Cenova nabidka NAFTA'!$G17+'Cenova nabidka NAFTA'!$H17))</f>
        <v>0</v>
      </c>
      <c r="M18" s="120">
        <f>'NABIDKA DOPRAVCE'!$J21*'Vypocty indexu'!M29*('Cenova nabidka NAFTA'!$F17+IF(OR(M$33&lt;SH,M$33&gt;HH),'Cenova nabidka NAFTA'!$G17*1/(1+M$33)*IF(NaPoVo=0,0,'Beh smlouvy'!L$8/NaPoVo)+'Cenova nabidka NAFTA'!$H17*1/(1+M$33),'Cenova nabidka NAFTA'!$G17+'Cenova nabidka NAFTA'!$H17))</f>
        <v>0</v>
      </c>
      <c r="N18" s="120">
        <f>'NABIDKA DOPRAVCE'!$J21*'Vypocty indexu'!N29*('Cenova nabidka NAFTA'!$F17+IF(OR(N$33&lt;SH,N$33&gt;HH),'Cenova nabidka NAFTA'!$G17*1/(1+N$33)*IF(NaPoVo=0,0,'Beh smlouvy'!M$8/NaPoVo)+'Cenova nabidka NAFTA'!$H17*1/(1+N$33),'Cenova nabidka NAFTA'!$G17+'Cenova nabidka NAFTA'!$H17))</f>
        <v>0</v>
      </c>
    </row>
    <row r="19" spans="2:14" ht="12.75" outlineLevel="1">
      <c r="B19" s="56" t="s">
        <v>40</v>
      </c>
      <c r="C19" s="47" t="s">
        <v>63</v>
      </c>
      <c r="D19" s="193"/>
      <c r="E19" s="120">
        <f>'NABIDKA DOPRAVCE'!$J22*'Vypocty indexu'!E30*('Cenova nabidka NAFTA'!$F18+IF(OR(E$33&lt;SH,E$33&gt;HH),'Cenova nabidka NAFTA'!$G18*1/(1+E$33)*IF(NaPoVo=0,0,'Beh smlouvy'!D$8/NaPoVo)+'Cenova nabidka NAFTA'!$H18*1/(1+E$33),'Cenova nabidka NAFTA'!$G18+'Cenova nabidka NAFTA'!$H18))</f>
        <v>0</v>
      </c>
      <c r="F19" s="120">
        <f>'NABIDKA DOPRAVCE'!$J22*'Vypocty indexu'!F30*('Cenova nabidka NAFTA'!$F18+IF(OR(F$33&lt;SH,F$33&gt;HH),'Cenova nabidka NAFTA'!$G18*1/(1+F$33)*IF(NaPoVo=0,0,'Beh smlouvy'!E$8/NaPoVo)+'Cenova nabidka NAFTA'!$H18*1/(1+F$33),'Cenova nabidka NAFTA'!$G18+'Cenova nabidka NAFTA'!$H18))</f>
        <v>0</v>
      </c>
      <c r="G19" s="120">
        <f>'NABIDKA DOPRAVCE'!$J22*'Vypocty indexu'!G30*('Cenova nabidka NAFTA'!$F18+IF(OR(G$33&lt;SH,G$33&gt;HH),'Cenova nabidka NAFTA'!$G18*1/(1+G$33)*IF(NaPoVo=0,0,'Beh smlouvy'!F$8/NaPoVo)+'Cenova nabidka NAFTA'!$H18*1/(1+G$33),'Cenova nabidka NAFTA'!$G18+'Cenova nabidka NAFTA'!$H18))</f>
        <v>0</v>
      </c>
      <c r="H19" s="120">
        <f>'NABIDKA DOPRAVCE'!$J22*'Vypocty indexu'!H30*('Cenova nabidka NAFTA'!$F18+IF(OR(H$33&lt;SH,H$33&gt;HH),'Cenova nabidka NAFTA'!$G18*1/(1+H$33)*IF(NaPoVo=0,0,'Beh smlouvy'!G$8/NaPoVo)+'Cenova nabidka NAFTA'!$H18*1/(1+H$33),'Cenova nabidka NAFTA'!$G18+'Cenova nabidka NAFTA'!$H18))</f>
        <v>0</v>
      </c>
      <c r="I19" s="120">
        <f>'NABIDKA DOPRAVCE'!$J22*'Vypocty indexu'!I30*('Cenova nabidka NAFTA'!$F18+IF(OR(I$33&lt;SH,I$33&gt;HH),'Cenova nabidka NAFTA'!$G18*1/(1+I$33)*IF(NaPoVo=0,0,'Beh smlouvy'!H$8/NaPoVo)+'Cenova nabidka NAFTA'!$H18*1/(1+I$33),'Cenova nabidka NAFTA'!$G18+'Cenova nabidka NAFTA'!$H18))</f>
        <v>0</v>
      </c>
      <c r="J19" s="120">
        <f>'NABIDKA DOPRAVCE'!$J22*'Vypocty indexu'!J30*('Cenova nabidka NAFTA'!$F18+IF(OR(J$33&lt;SH,J$33&gt;HH),'Cenova nabidka NAFTA'!$G18*1/(1+J$33)*IF(NaPoVo=0,0,'Beh smlouvy'!I$8/NaPoVo)+'Cenova nabidka NAFTA'!$H18*1/(1+J$33),'Cenova nabidka NAFTA'!$G18+'Cenova nabidka NAFTA'!$H18))</f>
        <v>0</v>
      </c>
      <c r="K19" s="120">
        <f>'NABIDKA DOPRAVCE'!$J22*'Vypocty indexu'!K30*('Cenova nabidka NAFTA'!$F18+IF(OR(K$33&lt;SH,K$33&gt;HH),'Cenova nabidka NAFTA'!$G18*1/(1+K$33)*IF(NaPoVo=0,0,'Beh smlouvy'!J$8/NaPoVo)+'Cenova nabidka NAFTA'!$H18*1/(1+K$33),'Cenova nabidka NAFTA'!$G18+'Cenova nabidka NAFTA'!$H18))</f>
        <v>0</v>
      </c>
      <c r="L19" s="120">
        <f>'NABIDKA DOPRAVCE'!$J22*'Vypocty indexu'!L30*('Cenova nabidka NAFTA'!$F18+IF(OR(L$33&lt;SH,L$33&gt;HH),'Cenova nabidka NAFTA'!$G18*1/(1+L$33)*IF(NaPoVo=0,0,'Beh smlouvy'!K$8/NaPoVo)+'Cenova nabidka NAFTA'!$H18*1/(1+L$33),'Cenova nabidka NAFTA'!$G18+'Cenova nabidka NAFTA'!$H18))</f>
        <v>0</v>
      </c>
      <c r="M19" s="120">
        <f>'NABIDKA DOPRAVCE'!$J22*'Vypocty indexu'!M30*('Cenova nabidka NAFTA'!$F18+IF(OR(M$33&lt;SH,M$33&gt;HH),'Cenova nabidka NAFTA'!$G18*1/(1+M$33)*IF(NaPoVo=0,0,'Beh smlouvy'!L$8/NaPoVo)+'Cenova nabidka NAFTA'!$H18*1/(1+M$33),'Cenova nabidka NAFTA'!$G18+'Cenova nabidka NAFTA'!$H18))</f>
        <v>0</v>
      </c>
      <c r="N19" s="120">
        <f>'NABIDKA DOPRAVCE'!$J22*'Vypocty indexu'!N30*('Cenova nabidka NAFTA'!$F18+IF(OR(N$33&lt;SH,N$33&gt;HH),'Cenova nabidka NAFTA'!$G18*1/(1+N$33)*IF(NaPoVo=0,0,'Beh smlouvy'!M$8/NaPoVo)+'Cenova nabidka NAFTA'!$H18*1/(1+N$33),'Cenova nabidka NAFTA'!$G18+'Cenova nabidka NAFTA'!$H18))</f>
        <v>0</v>
      </c>
    </row>
    <row r="20" spans="2:14" ht="12.75" outlineLevel="1">
      <c r="B20" s="56" t="s">
        <v>41</v>
      </c>
      <c r="C20" s="47" t="s">
        <v>64</v>
      </c>
      <c r="D20" s="193"/>
      <c r="E20" s="120">
        <f>'NABIDKA DOPRAVCE'!$J23*'Vypocty indexu'!E31*('Cenova nabidka NAFTA'!$F19+IF(OR(E$33&lt;SH,E$33&gt;HH),'Cenova nabidka NAFTA'!$G19*1/(1+E$33)*IF(NaPoVo=0,0,'Beh smlouvy'!D$8/NaPoVo)+'Cenova nabidka NAFTA'!$H19*1/(1+E$33),'Cenova nabidka NAFTA'!$G19+'Cenova nabidka NAFTA'!$H19))</f>
        <v>0</v>
      </c>
      <c r="F20" s="120">
        <f>'NABIDKA DOPRAVCE'!$J23*'Vypocty indexu'!F31*('Cenova nabidka NAFTA'!$F19+IF(OR(F$33&lt;SH,F$33&gt;HH),'Cenova nabidka NAFTA'!$G19*1/(1+F$33)*IF(NaPoVo=0,0,'Beh smlouvy'!E$8/NaPoVo)+'Cenova nabidka NAFTA'!$H19*1/(1+F$33),'Cenova nabidka NAFTA'!$G19+'Cenova nabidka NAFTA'!$H19))</f>
        <v>0</v>
      </c>
      <c r="G20" s="120">
        <f>'NABIDKA DOPRAVCE'!$J23*'Vypocty indexu'!G31*('Cenova nabidka NAFTA'!$F19+IF(OR(G$33&lt;SH,G$33&gt;HH),'Cenova nabidka NAFTA'!$G19*1/(1+G$33)*IF(NaPoVo=0,0,'Beh smlouvy'!F$8/NaPoVo)+'Cenova nabidka NAFTA'!$H19*1/(1+G$33),'Cenova nabidka NAFTA'!$G19+'Cenova nabidka NAFTA'!$H19))</f>
        <v>0</v>
      </c>
      <c r="H20" s="120">
        <f>'NABIDKA DOPRAVCE'!$J23*'Vypocty indexu'!H31*('Cenova nabidka NAFTA'!$F19+IF(OR(H$33&lt;SH,H$33&gt;HH),'Cenova nabidka NAFTA'!$G19*1/(1+H$33)*IF(NaPoVo=0,0,'Beh smlouvy'!G$8/NaPoVo)+'Cenova nabidka NAFTA'!$H19*1/(1+H$33),'Cenova nabidka NAFTA'!$G19+'Cenova nabidka NAFTA'!$H19))</f>
        <v>0</v>
      </c>
      <c r="I20" s="120">
        <f>'NABIDKA DOPRAVCE'!$J23*'Vypocty indexu'!I31*('Cenova nabidka NAFTA'!$F19+IF(OR(I$33&lt;SH,I$33&gt;HH),'Cenova nabidka NAFTA'!$G19*1/(1+I$33)*IF(NaPoVo=0,0,'Beh smlouvy'!H$8/NaPoVo)+'Cenova nabidka NAFTA'!$H19*1/(1+I$33),'Cenova nabidka NAFTA'!$G19+'Cenova nabidka NAFTA'!$H19))</f>
        <v>0</v>
      </c>
      <c r="J20" s="120">
        <f>'NABIDKA DOPRAVCE'!$J23*'Vypocty indexu'!J31*('Cenova nabidka NAFTA'!$F19+IF(OR(J$33&lt;SH,J$33&gt;HH),'Cenova nabidka NAFTA'!$G19*1/(1+J$33)*IF(NaPoVo=0,0,'Beh smlouvy'!I$8/NaPoVo)+'Cenova nabidka NAFTA'!$H19*1/(1+J$33),'Cenova nabidka NAFTA'!$G19+'Cenova nabidka NAFTA'!$H19))</f>
        <v>0</v>
      </c>
      <c r="K20" s="120">
        <f>'NABIDKA DOPRAVCE'!$J23*'Vypocty indexu'!K31*('Cenova nabidka NAFTA'!$F19+IF(OR(K$33&lt;SH,K$33&gt;HH),'Cenova nabidka NAFTA'!$G19*1/(1+K$33)*IF(NaPoVo=0,0,'Beh smlouvy'!J$8/NaPoVo)+'Cenova nabidka NAFTA'!$H19*1/(1+K$33),'Cenova nabidka NAFTA'!$G19+'Cenova nabidka NAFTA'!$H19))</f>
        <v>0</v>
      </c>
      <c r="L20" s="120">
        <f>'NABIDKA DOPRAVCE'!$J23*'Vypocty indexu'!L31*('Cenova nabidka NAFTA'!$F19+IF(OR(L$33&lt;SH,L$33&gt;HH),'Cenova nabidka NAFTA'!$G19*1/(1+L$33)*IF(NaPoVo=0,0,'Beh smlouvy'!K$8/NaPoVo)+'Cenova nabidka NAFTA'!$H19*1/(1+L$33),'Cenova nabidka NAFTA'!$G19+'Cenova nabidka NAFTA'!$H19))</f>
        <v>0</v>
      </c>
      <c r="M20" s="120">
        <f>'NABIDKA DOPRAVCE'!$J23*'Vypocty indexu'!M31*('Cenova nabidka NAFTA'!$F19+IF(OR(M$33&lt;SH,M$33&gt;HH),'Cenova nabidka NAFTA'!$G19*1/(1+M$33)*IF(NaPoVo=0,0,'Beh smlouvy'!L$8/NaPoVo)+'Cenova nabidka NAFTA'!$H19*1/(1+M$33),'Cenova nabidka NAFTA'!$G19+'Cenova nabidka NAFTA'!$H19))</f>
        <v>0</v>
      </c>
      <c r="N20" s="120">
        <f>'NABIDKA DOPRAVCE'!$J23*'Vypocty indexu'!N31*('Cenova nabidka NAFTA'!$F19+IF(OR(N$33&lt;SH,N$33&gt;HH),'Cenova nabidka NAFTA'!$G19*1/(1+N$33)*IF(NaPoVo=0,0,'Beh smlouvy'!M$8/NaPoVo)+'Cenova nabidka NAFTA'!$H19*1/(1+N$33),'Cenova nabidka NAFTA'!$G19+'Cenova nabidka NAFTA'!$H19))</f>
        <v>0</v>
      </c>
    </row>
    <row r="21" spans="2:14" ht="12.75" outlineLevel="1">
      <c r="B21" s="56">
        <v>18</v>
      </c>
      <c r="C21" s="47" t="s">
        <v>13</v>
      </c>
      <c r="D21" s="193"/>
      <c r="E21" s="120">
        <f>'NABIDKA DOPRAVCE'!$J24*'Vypocty indexu'!E32*('Cenova nabidka NAFTA'!$F20+IF(OR(E$33&lt;SH,E$33&gt;HH),'Cenova nabidka NAFTA'!$G20*1/(1+E$33)*IF(NaPoVo=0,0,'Beh smlouvy'!D$8/NaPoVo)+'Cenova nabidka NAFTA'!$H20*1/(1+E$33),'Cenova nabidka NAFTA'!$G20+'Cenova nabidka NAFTA'!$H20))</f>
        <v>0</v>
      </c>
      <c r="F21" s="120">
        <f>'NABIDKA DOPRAVCE'!$J24*'Vypocty indexu'!F32*('Cenova nabidka NAFTA'!$F20+IF(OR(F$33&lt;SH,F$33&gt;HH),'Cenova nabidka NAFTA'!$G20*1/(1+F$33)*IF(NaPoVo=0,0,'Beh smlouvy'!E$8/NaPoVo)+'Cenova nabidka NAFTA'!$H20*1/(1+F$33),'Cenova nabidka NAFTA'!$G20+'Cenova nabidka NAFTA'!$H20))</f>
        <v>0</v>
      </c>
      <c r="G21" s="120">
        <f>'NABIDKA DOPRAVCE'!$J24*'Vypocty indexu'!G32*('Cenova nabidka NAFTA'!$F20+IF(OR(G$33&lt;SH,G$33&gt;HH),'Cenova nabidka NAFTA'!$G20*1/(1+G$33)*IF(NaPoVo=0,0,'Beh smlouvy'!F$8/NaPoVo)+'Cenova nabidka NAFTA'!$H20*1/(1+G$33),'Cenova nabidka NAFTA'!$G20+'Cenova nabidka NAFTA'!$H20))</f>
        <v>0</v>
      </c>
      <c r="H21" s="120">
        <f>'NABIDKA DOPRAVCE'!$J24*'Vypocty indexu'!H32*('Cenova nabidka NAFTA'!$F20+IF(OR(H$33&lt;SH,H$33&gt;HH),'Cenova nabidka NAFTA'!$G20*1/(1+H$33)*IF(NaPoVo=0,0,'Beh smlouvy'!G$8/NaPoVo)+'Cenova nabidka NAFTA'!$H20*1/(1+H$33),'Cenova nabidka NAFTA'!$G20+'Cenova nabidka NAFTA'!$H20))</f>
        <v>0</v>
      </c>
      <c r="I21" s="120">
        <f>'NABIDKA DOPRAVCE'!$J24*'Vypocty indexu'!I32*('Cenova nabidka NAFTA'!$F20+IF(OR(I$33&lt;SH,I$33&gt;HH),'Cenova nabidka NAFTA'!$G20*1/(1+I$33)*IF(NaPoVo=0,0,'Beh smlouvy'!H$8/NaPoVo)+'Cenova nabidka NAFTA'!$H20*1/(1+I$33),'Cenova nabidka NAFTA'!$G20+'Cenova nabidka NAFTA'!$H20))</f>
        <v>0</v>
      </c>
      <c r="J21" s="120">
        <f>'NABIDKA DOPRAVCE'!$J24*'Vypocty indexu'!J32*('Cenova nabidka NAFTA'!$F20+IF(OR(J$33&lt;SH,J$33&gt;HH),'Cenova nabidka NAFTA'!$G20*1/(1+J$33)*IF(NaPoVo=0,0,'Beh smlouvy'!I$8/NaPoVo)+'Cenova nabidka NAFTA'!$H20*1/(1+J$33),'Cenova nabidka NAFTA'!$G20+'Cenova nabidka NAFTA'!$H20))</f>
        <v>0</v>
      </c>
      <c r="K21" s="120">
        <f>'NABIDKA DOPRAVCE'!$J24*'Vypocty indexu'!K32*('Cenova nabidka NAFTA'!$F20+IF(OR(K$33&lt;SH,K$33&gt;HH),'Cenova nabidka NAFTA'!$G20*1/(1+K$33)*IF(NaPoVo=0,0,'Beh smlouvy'!J$8/NaPoVo)+'Cenova nabidka NAFTA'!$H20*1/(1+K$33),'Cenova nabidka NAFTA'!$G20+'Cenova nabidka NAFTA'!$H20))</f>
        <v>0</v>
      </c>
      <c r="L21" s="120">
        <f>'NABIDKA DOPRAVCE'!$J24*'Vypocty indexu'!L32*('Cenova nabidka NAFTA'!$F20+IF(OR(L$33&lt;SH,L$33&gt;HH),'Cenova nabidka NAFTA'!$G20*1/(1+L$33)*IF(NaPoVo=0,0,'Beh smlouvy'!K$8/NaPoVo)+'Cenova nabidka NAFTA'!$H20*1/(1+L$33),'Cenova nabidka NAFTA'!$G20+'Cenova nabidka NAFTA'!$H20))</f>
        <v>0</v>
      </c>
      <c r="M21" s="120">
        <f>'NABIDKA DOPRAVCE'!$J24*'Vypocty indexu'!M32*('Cenova nabidka NAFTA'!$F20+IF(OR(M$33&lt;SH,M$33&gt;HH),'Cenova nabidka NAFTA'!$G20*1/(1+M$33)*IF(NaPoVo=0,0,'Beh smlouvy'!L$8/NaPoVo)+'Cenova nabidka NAFTA'!$H20*1/(1+M$33),'Cenova nabidka NAFTA'!$G20+'Cenova nabidka NAFTA'!$H20))</f>
        <v>0</v>
      </c>
      <c r="N21" s="120">
        <f>'NABIDKA DOPRAVCE'!$J24*'Vypocty indexu'!N32*('Cenova nabidka NAFTA'!$F20+IF(OR(N$33&lt;SH,N$33&gt;HH),'Cenova nabidka NAFTA'!$G20*1/(1+N$33)*IF(NaPoVo=0,0,'Beh smlouvy'!M$8/NaPoVo)+'Cenova nabidka NAFTA'!$H20*1/(1+N$33),'Cenova nabidka NAFTA'!$G20+'Cenova nabidka NAFTA'!$H20))</f>
        <v>0</v>
      </c>
    </row>
    <row r="22" spans="2:14" ht="12.75" outlineLevel="1">
      <c r="B22" s="56">
        <v>19</v>
      </c>
      <c r="C22" s="47" t="s">
        <v>14</v>
      </c>
      <c r="D22" s="193"/>
      <c r="E22" s="120">
        <f>'NABIDKA DOPRAVCE'!$J25*'Vypocty indexu'!E33*('Cenova nabidka NAFTA'!$F21+IF(OR(E$33&lt;SH,E$33&gt;HH),'Cenova nabidka NAFTA'!$G21*1/(1+E$33)*IF(NaPoVo=0,0,'Beh smlouvy'!D$8/NaPoVo)+'Cenova nabidka NAFTA'!$H21*1/(1+E$33),'Cenova nabidka NAFTA'!$G21+'Cenova nabidka NAFTA'!$H21))</f>
        <v>0</v>
      </c>
      <c r="F22" s="120">
        <f>'NABIDKA DOPRAVCE'!$J25*'Vypocty indexu'!F33*('Cenova nabidka NAFTA'!$F21+IF(OR(F$33&lt;SH,F$33&gt;HH),'Cenova nabidka NAFTA'!$G21*1/(1+F$33)*IF(NaPoVo=0,0,'Beh smlouvy'!E$8/NaPoVo)+'Cenova nabidka NAFTA'!$H21*1/(1+F$33),'Cenova nabidka NAFTA'!$G21+'Cenova nabidka NAFTA'!$H21))</f>
        <v>0</v>
      </c>
      <c r="G22" s="120">
        <f>'NABIDKA DOPRAVCE'!$J25*'Vypocty indexu'!G33*('Cenova nabidka NAFTA'!$F21+IF(OR(G$33&lt;SH,G$33&gt;HH),'Cenova nabidka NAFTA'!$G21*1/(1+G$33)*IF(NaPoVo=0,0,'Beh smlouvy'!F$8/NaPoVo)+'Cenova nabidka NAFTA'!$H21*1/(1+G$33),'Cenova nabidka NAFTA'!$G21+'Cenova nabidka NAFTA'!$H21))</f>
        <v>0</v>
      </c>
      <c r="H22" s="120">
        <f>'NABIDKA DOPRAVCE'!$J25*'Vypocty indexu'!H33*('Cenova nabidka NAFTA'!$F21+IF(OR(H$33&lt;SH,H$33&gt;HH),'Cenova nabidka NAFTA'!$G21*1/(1+H$33)*IF(NaPoVo=0,0,'Beh smlouvy'!G$8/NaPoVo)+'Cenova nabidka NAFTA'!$H21*1/(1+H$33),'Cenova nabidka NAFTA'!$G21+'Cenova nabidka NAFTA'!$H21))</f>
        <v>0</v>
      </c>
      <c r="I22" s="120">
        <f>'NABIDKA DOPRAVCE'!$J25*'Vypocty indexu'!I33*('Cenova nabidka NAFTA'!$F21+IF(OR(I$33&lt;SH,I$33&gt;HH),'Cenova nabidka NAFTA'!$G21*1/(1+I$33)*IF(NaPoVo=0,0,'Beh smlouvy'!H$8/NaPoVo)+'Cenova nabidka NAFTA'!$H21*1/(1+I$33),'Cenova nabidka NAFTA'!$G21+'Cenova nabidka NAFTA'!$H21))</f>
        <v>0</v>
      </c>
      <c r="J22" s="120">
        <f>'NABIDKA DOPRAVCE'!$J25*'Vypocty indexu'!J33*('Cenova nabidka NAFTA'!$F21+IF(OR(J$33&lt;SH,J$33&gt;HH),'Cenova nabidka NAFTA'!$G21*1/(1+J$33)*IF(NaPoVo=0,0,'Beh smlouvy'!I$8/NaPoVo)+'Cenova nabidka NAFTA'!$H21*1/(1+J$33),'Cenova nabidka NAFTA'!$G21+'Cenova nabidka NAFTA'!$H21))</f>
        <v>0</v>
      </c>
      <c r="K22" s="120">
        <f>'NABIDKA DOPRAVCE'!$J25*'Vypocty indexu'!K33*('Cenova nabidka NAFTA'!$F21+IF(OR(K$33&lt;SH,K$33&gt;HH),'Cenova nabidka NAFTA'!$G21*1/(1+K$33)*IF(NaPoVo=0,0,'Beh smlouvy'!J$8/NaPoVo)+'Cenova nabidka NAFTA'!$H21*1/(1+K$33),'Cenova nabidka NAFTA'!$G21+'Cenova nabidka NAFTA'!$H21))</f>
        <v>0</v>
      </c>
      <c r="L22" s="120">
        <f>'NABIDKA DOPRAVCE'!$J25*'Vypocty indexu'!L33*('Cenova nabidka NAFTA'!$F21+IF(OR(L$33&lt;SH,L$33&gt;HH),'Cenova nabidka NAFTA'!$G21*1/(1+L$33)*IF(NaPoVo=0,0,'Beh smlouvy'!K$8/NaPoVo)+'Cenova nabidka NAFTA'!$H21*1/(1+L$33),'Cenova nabidka NAFTA'!$G21+'Cenova nabidka NAFTA'!$H21))</f>
        <v>0</v>
      </c>
      <c r="M22" s="120">
        <f>'NABIDKA DOPRAVCE'!$J25*'Vypocty indexu'!M33*('Cenova nabidka NAFTA'!$F21+IF(OR(M$33&lt;SH,M$33&gt;HH),'Cenova nabidka NAFTA'!$G21*1/(1+M$33)*IF(NaPoVo=0,0,'Beh smlouvy'!L$8/NaPoVo)+'Cenova nabidka NAFTA'!$H21*1/(1+M$33),'Cenova nabidka NAFTA'!$G21+'Cenova nabidka NAFTA'!$H21))</f>
        <v>0</v>
      </c>
      <c r="N22" s="120">
        <f>'NABIDKA DOPRAVCE'!$J25*'Vypocty indexu'!N33*('Cenova nabidka NAFTA'!$F21+IF(OR(N$33&lt;SH,N$33&gt;HH),'Cenova nabidka NAFTA'!$G21*1/(1+N$33)*IF(NaPoVo=0,0,'Beh smlouvy'!M$8/NaPoVo)+'Cenova nabidka NAFTA'!$H21*1/(1+N$33),'Cenova nabidka NAFTA'!$G21+'Cenova nabidka NAFTA'!$H21))</f>
        <v>0</v>
      </c>
    </row>
    <row r="23" spans="2:14" ht="12.75" outlineLevel="1">
      <c r="B23" s="56">
        <v>20</v>
      </c>
      <c r="C23" s="47" t="s">
        <v>15</v>
      </c>
      <c r="D23" s="193"/>
      <c r="E23" s="120">
        <f>'NABIDKA DOPRAVCE'!$J26*'Vypocty indexu'!E34*('Cenova nabidka NAFTA'!$F22+IF(OR(E$33&lt;SH,E$33&gt;HH),'Cenova nabidka NAFTA'!$G22*1/(1+E$33)*IF(NaPoVo=0,0,'Beh smlouvy'!D$8/NaPoVo)+'Cenova nabidka NAFTA'!$H22*1/(1+E$33),'Cenova nabidka NAFTA'!$G22+'Cenova nabidka NAFTA'!$H22))</f>
        <v>0</v>
      </c>
      <c r="F23" s="120">
        <f>'NABIDKA DOPRAVCE'!$J26*'Vypocty indexu'!F34*('Cenova nabidka NAFTA'!$F22+IF(OR(F$33&lt;SH,F$33&gt;HH),'Cenova nabidka NAFTA'!$G22*1/(1+F$33)*IF(NaPoVo=0,0,'Beh smlouvy'!E$8/NaPoVo)+'Cenova nabidka NAFTA'!$H22*1/(1+F$33),'Cenova nabidka NAFTA'!$G22+'Cenova nabidka NAFTA'!$H22))</f>
        <v>0</v>
      </c>
      <c r="G23" s="120">
        <f>'NABIDKA DOPRAVCE'!$J26*'Vypocty indexu'!G34*('Cenova nabidka NAFTA'!$F22+IF(OR(G$33&lt;SH,G$33&gt;HH),'Cenova nabidka NAFTA'!$G22*1/(1+G$33)*IF(NaPoVo=0,0,'Beh smlouvy'!F$8/NaPoVo)+'Cenova nabidka NAFTA'!$H22*1/(1+G$33),'Cenova nabidka NAFTA'!$G22+'Cenova nabidka NAFTA'!$H22))</f>
        <v>0</v>
      </c>
      <c r="H23" s="120">
        <f>'NABIDKA DOPRAVCE'!$J26*'Vypocty indexu'!H34*('Cenova nabidka NAFTA'!$F22+IF(OR(H$33&lt;SH,H$33&gt;HH),'Cenova nabidka NAFTA'!$G22*1/(1+H$33)*IF(NaPoVo=0,0,'Beh smlouvy'!G$8/NaPoVo)+'Cenova nabidka NAFTA'!$H22*1/(1+H$33),'Cenova nabidka NAFTA'!$G22+'Cenova nabidka NAFTA'!$H22))</f>
        <v>0</v>
      </c>
      <c r="I23" s="120">
        <f>'NABIDKA DOPRAVCE'!$J26*'Vypocty indexu'!I34*('Cenova nabidka NAFTA'!$F22+IF(OR(I$33&lt;SH,I$33&gt;HH),'Cenova nabidka NAFTA'!$G22*1/(1+I$33)*IF(NaPoVo=0,0,'Beh smlouvy'!H$8/NaPoVo)+'Cenova nabidka NAFTA'!$H22*1/(1+I$33),'Cenova nabidka NAFTA'!$G22+'Cenova nabidka NAFTA'!$H22))</f>
        <v>0</v>
      </c>
      <c r="J23" s="120">
        <f>'NABIDKA DOPRAVCE'!$J26*'Vypocty indexu'!J34*('Cenova nabidka NAFTA'!$F22+IF(OR(J$33&lt;SH,J$33&gt;HH),'Cenova nabidka NAFTA'!$G22*1/(1+J$33)*IF(NaPoVo=0,0,'Beh smlouvy'!I$8/NaPoVo)+'Cenova nabidka NAFTA'!$H22*1/(1+J$33),'Cenova nabidka NAFTA'!$G22+'Cenova nabidka NAFTA'!$H22))</f>
        <v>0</v>
      </c>
      <c r="K23" s="120">
        <f>'NABIDKA DOPRAVCE'!$J26*'Vypocty indexu'!K34*('Cenova nabidka NAFTA'!$F22+IF(OR(K$33&lt;SH,K$33&gt;HH),'Cenova nabidka NAFTA'!$G22*1/(1+K$33)*IF(NaPoVo=0,0,'Beh smlouvy'!J$8/NaPoVo)+'Cenova nabidka NAFTA'!$H22*1/(1+K$33),'Cenova nabidka NAFTA'!$G22+'Cenova nabidka NAFTA'!$H22))</f>
        <v>0</v>
      </c>
      <c r="L23" s="120">
        <f>'NABIDKA DOPRAVCE'!$J26*'Vypocty indexu'!L34*('Cenova nabidka NAFTA'!$F22+IF(OR(L$33&lt;SH,L$33&gt;HH),'Cenova nabidka NAFTA'!$G22*1/(1+L$33)*IF(NaPoVo=0,0,'Beh smlouvy'!K$8/NaPoVo)+'Cenova nabidka NAFTA'!$H22*1/(1+L$33),'Cenova nabidka NAFTA'!$G22+'Cenova nabidka NAFTA'!$H22))</f>
        <v>0</v>
      </c>
      <c r="M23" s="120">
        <f>'NABIDKA DOPRAVCE'!$J26*'Vypocty indexu'!M34*('Cenova nabidka NAFTA'!$F22+IF(OR(M$33&lt;SH,M$33&gt;HH),'Cenova nabidka NAFTA'!$G22*1/(1+M$33)*IF(NaPoVo=0,0,'Beh smlouvy'!L$8/NaPoVo)+'Cenova nabidka NAFTA'!$H22*1/(1+M$33),'Cenova nabidka NAFTA'!$G22+'Cenova nabidka NAFTA'!$H22))</f>
        <v>0</v>
      </c>
      <c r="N23" s="120">
        <f>'NABIDKA DOPRAVCE'!$J26*'Vypocty indexu'!N34*('Cenova nabidka NAFTA'!$F22+IF(OR(N$33&lt;SH,N$33&gt;HH),'Cenova nabidka NAFTA'!$G22*1/(1+N$33)*IF(NaPoVo=0,0,'Beh smlouvy'!M$8/NaPoVo)+'Cenova nabidka NAFTA'!$H22*1/(1+N$33),'Cenova nabidka NAFTA'!$G22+'Cenova nabidka NAFTA'!$H22))</f>
        <v>0</v>
      </c>
    </row>
    <row r="24" spans="2:14" ht="12.75" outlineLevel="1">
      <c r="B24" s="56">
        <v>21</v>
      </c>
      <c r="C24" s="47" t="s">
        <v>16</v>
      </c>
      <c r="D24" s="193"/>
      <c r="E24" s="120">
        <f>'NABIDKA DOPRAVCE'!$J27*'Vypocty indexu'!E35*('Cenova nabidka NAFTA'!$F23+IF(OR(E$33&lt;SH,E$33&gt;HH),'Cenova nabidka NAFTA'!$G23*1/(1+E$33)*IF(NaPoVo=0,0,'Beh smlouvy'!D$8/NaPoVo)+'Cenova nabidka NAFTA'!$H23*1/(1+E$33),'Cenova nabidka NAFTA'!$G23+'Cenova nabidka NAFTA'!$H23))</f>
        <v>0.03196</v>
      </c>
      <c r="F24" s="120">
        <f>'NABIDKA DOPRAVCE'!$J27*'Vypocty indexu'!F35*('Cenova nabidka NAFTA'!$F23+IF(OR(F$33&lt;SH,F$33&gt;HH),'Cenova nabidka NAFTA'!$G23*1/(1+F$33)*IF(NaPoVo=0,0,'Beh smlouvy'!E$8/NaPoVo)+'Cenova nabidka NAFTA'!$H23*1/(1+F$33),'Cenova nabidka NAFTA'!$G23+'Cenova nabidka NAFTA'!$H23))</f>
        <v>0</v>
      </c>
      <c r="G24" s="120">
        <f>'NABIDKA DOPRAVCE'!$J27*'Vypocty indexu'!G35*('Cenova nabidka NAFTA'!$F23+IF(OR(G$33&lt;SH,G$33&gt;HH),'Cenova nabidka NAFTA'!$G23*1/(1+G$33)*IF(NaPoVo=0,0,'Beh smlouvy'!F$8/NaPoVo)+'Cenova nabidka NAFTA'!$H23*1/(1+G$33),'Cenova nabidka NAFTA'!$G23+'Cenova nabidka NAFTA'!$H23))</f>
        <v>0</v>
      </c>
      <c r="H24" s="120">
        <f>'NABIDKA DOPRAVCE'!$J27*'Vypocty indexu'!H35*('Cenova nabidka NAFTA'!$F23+IF(OR(H$33&lt;SH,H$33&gt;HH),'Cenova nabidka NAFTA'!$G23*1/(1+H$33)*IF(NaPoVo=0,0,'Beh smlouvy'!G$8/NaPoVo)+'Cenova nabidka NAFTA'!$H23*1/(1+H$33),'Cenova nabidka NAFTA'!$G23+'Cenova nabidka NAFTA'!$H23))</f>
        <v>0</v>
      </c>
      <c r="I24" s="120">
        <f>'NABIDKA DOPRAVCE'!$J27*'Vypocty indexu'!I35*('Cenova nabidka NAFTA'!$F23+IF(OR(I$33&lt;SH,I$33&gt;HH),'Cenova nabidka NAFTA'!$G23*1/(1+I$33)*IF(NaPoVo=0,0,'Beh smlouvy'!H$8/NaPoVo)+'Cenova nabidka NAFTA'!$H23*1/(1+I$33),'Cenova nabidka NAFTA'!$G23+'Cenova nabidka NAFTA'!$H23))</f>
        <v>0</v>
      </c>
      <c r="J24" s="120">
        <f>'NABIDKA DOPRAVCE'!$J27*'Vypocty indexu'!J35*('Cenova nabidka NAFTA'!$F23+IF(OR(J$33&lt;SH,J$33&gt;HH),'Cenova nabidka NAFTA'!$G23*1/(1+J$33)*IF(NaPoVo=0,0,'Beh smlouvy'!I$8/NaPoVo)+'Cenova nabidka NAFTA'!$H23*1/(1+J$33),'Cenova nabidka NAFTA'!$G23+'Cenova nabidka NAFTA'!$H23))</f>
        <v>0</v>
      </c>
      <c r="K24" s="120">
        <f>'NABIDKA DOPRAVCE'!$J27*'Vypocty indexu'!K35*('Cenova nabidka NAFTA'!$F23+IF(OR(K$33&lt;SH,K$33&gt;HH),'Cenova nabidka NAFTA'!$G23*1/(1+K$33)*IF(NaPoVo=0,0,'Beh smlouvy'!J$8/NaPoVo)+'Cenova nabidka NAFTA'!$H23*1/(1+K$33),'Cenova nabidka NAFTA'!$G23+'Cenova nabidka NAFTA'!$H23))</f>
        <v>0</v>
      </c>
      <c r="L24" s="120">
        <f>'NABIDKA DOPRAVCE'!$J27*'Vypocty indexu'!L35*('Cenova nabidka NAFTA'!$F23+IF(OR(L$33&lt;SH,L$33&gt;HH),'Cenova nabidka NAFTA'!$G23*1/(1+L$33)*IF(NaPoVo=0,0,'Beh smlouvy'!K$8/NaPoVo)+'Cenova nabidka NAFTA'!$H23*1/(1+L$33),'Cenova nabidka NAFTA'!$G23+'Cenova nabidka NAFTA'!$H23))</f>
        <v>0</v>
      </c>
      <c r="M24" s="120">
        <f>'NABIDKA DOPRAVCE'!$J27*'Vypocty indexu'!M35*('Cenova nabidka NAFTA'!$F23+IF(OR(M$33&lt;SH,M$33&gt;HH),'Cenova nabidka NAFTA'!$G23*1/(1+M$33)*IF(NaPoVo=0,0,'Beh smlouvy'!L$8/NaPoVo)+'Cenova nabidka NAFTA'!$H23*1/(1+M$33),'Cenova nabidka NAFTA'!$G23+'Cenova nabidka NAFTA'!$H23))</f>
        <v>0</v>
      </c>
      <c r="N24" s="120">
        <f>'NABIDKA DOPRAVCE'!$J27*'Vypocty indexu'!N35*('Cenova nabidka NAFTA'!$F23+IF(OR(N$33&lt;SH,N$33&gt;HH),'Cenova nabidka NAFTA'!$G23*1/(1+N$33)*IF(NaPoVo=0,0,'Beh smlouvy'!M$8/NaPoVo)+'Cenova nabidka NAFTA'!$H23*1/(1+N$33),'Cenova nabidka NAFTA'!$G23+'Cenova nabidka NAFTA'!$H23))</f>
        <v>0</v>
      </c>
    </row>
    <row r="25" spans="2:14" ht="12.75" outlineLevel="1">
      <c r="B25" s="56">
        <v>22</v>
      </c>
      <c r="C25" s="47" t="s">
        <v>17</v>
      </c>
      <c r="D25" s="193"/>
      <c r="E25" s="120">
        <f>'NABIDKA DOPRAVCE'!$J28*'Vypocty indexu'!E36*('Cenova nabidka NAFTA'!$F24+IF(OR(E$33&lt;SH,E$33&gt;HH),'Cenova nabidka NAFTA'!$G24*1/(1+E$33)*IF(NaPoVo=0,0,'Beh smlouvy'!D$8/NaPoVo)+'Cenova nabidka NAFTA'!$H24*1/(1+E$33),'Cenova nabidka NAFTA'!$G24+'Cenova nabidka NAFTA'!$H24))</f>
        <v>0</v>
      </c>
      <c r="F25" s="120">
        <f>'NABIDKA DOPRAVCE'!$J28*'Vypocty indexu'!F36*('Cenova nabidka NAFTA'!$F24+IF(OR(F$33&lt;SH,F$33&gt;HH),'Cenova nabidka NAFTA'!$G24*1/(1+F$33)*IF(NaPoVo=0,0,'Beh smlouvy'!E$8/NaPoVo)+'Cenova nabidka NAFTA'!$H24*1/(1+F$33),'Cenova nabidka NAFTA'!$G24+'Cenova nabidka NAFTA'!$H24))</f>
        <v>0</v>
      </c>
      <c r="G25" s="120">
        <f>'NABIDKA DOPRAVCE'!$J28*'Vypocty indexu'!G36*('Cenova nabidka NAFTA'!$F24+IF(OR(G$33&lt;SH,G$33&gt;HH),'Cenova nabidka NAFTA'!$G24*1/(1+G$33)*IF(NaPoVo=0,0,'Beh smlouvy'!F$8/NaPoVo)+'Cenova nabidka NAFTA'!$H24*1/(1+G$33),'Cenova nabidka NAFTA'!$G24+'Cenova nabidka NAFTA'!$H24))</f>
        <v>0</v>
      </c>
      <c r="H25" s="120">
        <f>'NABIDKA DOPRAVCE'!$J28*'Vypocty indexu'!H36*('Cenova nabidka NAFTA'!$F24+IF(OR(H$33&lt;SH,H$33&gt;HH),'Cenova nabidka NAFTA'!$G24*1/(1+H$33)*IF(NaPoVo=0,0,'Beh smlouvy'!G$8/NaPoVo)+'Cenova nabidka NAFTA'!$H24*1/(1+H$33),'Cenova nabidka NAFTA'!$G24+'Cenova nabidka NAFTA'!$H24))</f>
        <v>0</v>
      </c>
      <c r="I25" s="120">
        <f>'NABIDKA DOPRAVCE'!$J28*'Vypocty indexu'!I36*('Cenova nabidka NAFTA'!$F24+IF(OR(I$33&lt;SH,I$33&gt;HH),'Cenova nabidka NAFTA'!$G24*1/(1+I$33)*IF(NaPoVo=0,0,'Beh smlouvy'!H$8/NaPoVo)+'Cenova nabidka NAFTA'!$H24*1/(1+I$33),'Cenova nabidka NAFTA'!$G24+'Cenova nabidka NAFTA'!$H24))</f>
        <v>0</v>
      </c>
      <c r="J25" s="120">
        <f>'NABIDKA DOPRAVCE'!$J28*'Vypocty indexu'!J36*('Cenova nabidka NAFTA'!$F24+IF(OR(J$33&lt;SH,J$33&gt;HH),'Cenova nabidka NAFTA'!$G24*1/(1+J$33)*IF(NaPoVo=0,0,'Beh smlouvy'!I$8/NaPoVo)+'Cenova nabidka NAFTA'!$H24*1/(1+J$33),'Cenova nabidka NAFTA'!$G24+'Cenova nabidka NAFTA'!$H24))</f>
        <v>0</v>
      </c>
      <c r="K25" s="120">
        <f>'NABIDKA DOPRAVCE'!$J28*'Vypocty indexu'!K36*('Cenova nabidka NAFTA'!$F24+IF(OR(K$33&lt;SH,K$33&gt;HH),'Cenova nabidka NAFTA'!$G24*1/(1+K$33)*IF(NaPoVo=0,0,'Beh smlouvy'!J$8/NaPoVo)+'Cenova nabidka NAFTA'!$H24*1/(1+K$33),'Cenova nabidka NAFTA'!$G24+'Cenova nabidka NAFTA'!$H24))</f>
        <v>0</v>
      </c>
      <c r="L25" s="120">
        <f>'NABIDKA DOPRAVCE'!$J28*'Vypocty indexu'!L36*('Cenova nabidka NAFTA'!$F24+IF(OR(L$33&lt;SH,L$33&gt;HH),'Cenova nabidka NAFTA'!$G24*1/(1+L$33)*IF(NaPoVo=0,0,'Beh smlouvy'!K$8/NaPoVo)+'Cenova nabidka NAFTA'!$H24*1/(1+L$33),'Cenova nabidka NAFTA'!$G24+'Cenova nabidka NAFTA'!$H24))</f>
        <v>0</v>
      </c>
      <c r="M25" s="120">
        <f>'NABIDKA DOPRAVCE'!$J28*'Vypocty indexu'!M36*('Cenova nabidka NAFTA'!$F24+IF(OR(M$33&lt;SH,M$33&gt;HH),'Cenova nabidka NAFTA'!$G24*1/(1+M$33)*IF(NaPoVo=0,0,'Beh smlouvy'!L$8/NaPoVo)+'Cenova nabidka NAFTA'!$H24*1/(1+M$33),'Cenova nabidka NAFTA'!$G24+'Cenova nabidka NAFTA'!$H24))</f>
        <v>0</v>
      </c>
      <c r="N25" s="120">
        <f>'NABIDKA DOPRAVCE'!$J28*'Vypocty indexu'!N36*('Cenova nabidka NAFTA'!$F24+IF(OR(N$33&lt;SH,N$33&gt;HH),'Cenova nabidka NAFTA'!$G24*1/(1+N$33)*IF(NaPoVo=0,0,'Beh smlouvy'!M$8/NaPoVo)+'Cenova nabidka NAFTA'!$H24*1/(1+N$33),'Cenova nabidka NAFTA'!$G24+'Cenova nabidka NAFTA'!$H24))</f>
        <v>0</v>
      </c>
    </row>
    <row r="26" spans="2:14" ht="12.75" outlineLevel="1">
      <c r="B26" s="56">
        <v>23</v>
      </c>
      <c r="C26" s="47" t="s">
        <v>18</v>
      </c>
      <c r="D26" s="193"/>
      <c r="E26" s="120">
        <f>'NABIDKA DOPRAVCE'!$J29*'Vypocty indexu'!E37*('Cenova nabidka NAFTA'!$F25+IF(OR(E$33&lt;SH,E$33&gt;HH),'Cenova nabidka NAFTA'!$G25*1/(1+E$33)*IF(NaPoVo=0,0,'Beh smlouvy'!D$8/NaPoVo)+'Cenova nabidka NAFTA'!$H25*1/(1+E$33),'Cenova nabidka NAFTA'!$G25+'Cenova nabidka NAFTA'!$H25))</f>
        <v>0</v>
      </c>
      <c r="F26" s="120">
        <f>'NABIDKA DOPRAVCE'!$J29*'Vypocty indexu'!F37*('Cenova nabidka NAFTA'!$F25+IF(OR(F$33&lt;SH,F$33&gt;HH),'Cenova nabidka NAFTA'!$G25*1/(1+F$33)*IF(NaPoVo=0,0,'Beh smlouvy'!E$8/NaPoVo)+'Cenova nabidka NAFTA'!$H25*1/(1+F$33),'Cenova nabidka NAFTA'!$G25+'Cenova nabidka NAFTA'!$H25))</f>
        <v>0</v>
      </c>
      <c r="G26" s="120">
        <f>'NABIDKA DOPRAVCE'!$J29*'Vypocty indexu'!G37*('Cenova nabidka NAFTA'!$F25+IF(OR(G$33&lt;SH,G$33&gt;HH),'Cenova nabidka NAFTA'!$G25*1/(1+G$33)*IF(NaPoVo=0,0,'Beh smlouvy'!F$8/NaPoVo)+'Cenova nabidka NAFTA'!$H25*1/(1+G$33),'Cenova nabidka NAFTA'!$G25+'Cenova nabidka NAFTA'!$H25))</f>
        <v>0</v>
      </c>
      <c r="H26" s="120">
        <f>'NABIDKA DOPRAVCE'!$J29*'Vypocty indexu'!H37*('Cenova nabidka NAFTA'!$F25+IF(OR(H$33&lt;SH,H$33&gt;HH),'Cenova nabidka NAFTA'!$G25*1/(1+H$33)*IF(NaPoVo=0,0,'Beh smlouvy'!G$8/NaPoVo)+'Cenova nabidka NAFTA'!$H25*1/(1+H$33),'Cenova nabidka NAFTA'!$G25+'Cenova nabidka NAFTA'!$H25))</f>
        <v>0</v>
      </c>
      <c r="I26" s="120">
        <f>'NABIDKA DOPRAVCE'!$J29*'Vypocty indexu'!I37*('Cenova nabidka NAFTA'!$F25+IF(OR(I$33&lt;SH,I$33&gt;HH),'Cenova nabidka NAFTA'!$G25*1/(1+I$33)*IF(NaPoVo=0,0,'Beh smlouvy'!H$8/NaPoVo)+'Cenova nabidka NAFTA'!$H25*1/(1+I$33),'Cenova nabidka NAFTA'!$G25+'Cenova nabidka NAFTA'!$H25))</f>
        <v>0</v>
      </c>
      <c r="J26" s="120">
        <f>'NABIDKA DOPRAVCE'!$J29*'Vypocty indexu'!J37*('Cenova nabidka NAFTA'!$F25+IF(OR(J$33&lt;SH,J$33&gt;HH),'Cenova nabidka NAFTA'!$G25*1/(1+J$33)*IF(NaPoVo=0,0,'Beh smlouvy'!I$8/NaPoVo)+'Cenova nabidka NAFTA'!$H25*1/(1+J$33),'Cenova nabidka NAFTA'!$G25+'Cenova nabidka NAFTA'!$H25))</f>
        <v>0</v>
      </c>
      <c r="K26" s="120">
        <f>'NABIDKA DOPRAVCE'!$J29*'Vypocty indexu'!K37*('Cenova nabidka NAFTA'!$F25+IF(OR(K$33&lt;SH,K$33&gt;HH),'Cenova nabidka NAFTA'!$G25*1/(1+K$33)*IF(NaPoVo=0,0,'Beh smlouvy'!J$8/NaPoVo)+'Cenova nabidka NAFTA'!$H25*1/(1+K$33),'Cenova nabidka NAFTA'!$G25+'Cenova nabidka NAFTA'!$H25))</f>
        <v>0</v>
      </c>
      <c r="L26" s="120">
        <f>'NABIDKA DOPRAVCE'!$J29*'Vypocty indexu'!L37*('Cenova nabidka NAFTA'!$F25+IF(OR(L$33&lt;SH,L$33&gt;HH),'Cenova nabidka NAFTA'!$G25*1/(1+L$33)*IF(NaPoVo=0,0,'Beh smlouvy'!K$8/NaPoVo)+'Cenova nabidka NAFTA'!$H25*1/(1+L$33),'Cenova nabidka NAFTA'!$G25+'Cenova nabidka NAFTA'!$H25))</f>
        <v>0</v>
      </c>
      <c r="M26" s="120">
        <f>'NABIDKA DOPRAVCE'!$J29*'Vypocty indexu'!M37*('Cenova nabidka NAFTA'!$F25+IF(OR(M$33&lt;SH,M$33&gt;HH),'Cenova nabidka NAFTA'!$G25*1/(1+M$33)*IF(NaPoVo=0,0,'Beh smlouvy'!L$8/NaPoVo)+'Cenova nabidka NAFTA'!$H25*1/(1+M$33),'Cenova nabidka NAFTA'!$G25+'Cenova nabidka NAFTA'!$H25))</f>
        <v>0</v>
      </c>
      <c r="N26" s="120">
        <f>'NABIDKA DOPRAVCE'!$J29*'Vypocty indexu'!N37*('Cenova nabidka NAFTA'!$F25+IF(OR(N$33&lt;SH,N$33&gt;HH),'Cenova nabidka NAFTA'!$G25*1/(1+N$33)*IF(NaPoVo=0,0,'Beh smlouvy'!M$8/NaPoVo)+'Cenova nabidka NAFTA'!$H25*1/(1+N$33),'Cenova nabidka NAFTA'!$G25+'Cenova nabidka NAFTA'!$H25))</f>
        <v>0</v>
      </c>
    </row>
    <row r="27" spans="2:14" ht="12.75" outlineLevel="1">
      <c r="B27" s="56">
        <v>24</v>
      </c>
      <c r="C27" s="47" t="s">
        <v>19</v>
      </c>
      <c r="D27" s="193"/>
      <c r="E27" s="120">
        <f>'NABIDKA DOPRAVCE'!$J30*'Vypocty indexu'!E38*('Cenova nabidka NAFTA'!$F26+IF(OR(E$33&lt;SH,E$33&gt;HH),'Cenova nabidka NAFTA'!$G26*1/(1+E$33)*IF(NaPoVo=0,0,'Beh smlouvy'!D$8/NaPoVo)+'Cenova nabidka NAFTA'!$H26*1/(1+E$33),'Cenova nabidka NAFTA'!$G26+'Cenova nabidka NAFTA'!$H26))</f>
        <v>0</v>
      </c>
      <c r="F27" s="120">
        <f>'NABIDKA DOPRAVCE'!$J30*'Vypocty indexu'!F38*('Cenova nabidka NAFTA'!$F26+IF(OR(F$33&lt;SH,F$33&gt;HH),'Cenova nabidka NAFTA'!$G26*1/(1+F$33)*IF(NaPoVo=0,0,'Beh smlouvy'!E$8/NaPoVo)+'Cenova nabidka NAFTA'!$H26*1/(1+F$33),'Cenova nabidka NAFTA'!$G26+'Cenova nabidka NAFTA'!$H26))</f>
        <v>0</v>
      </c>
      <c r="G27" s="120">
        <f>'NABIDKA DOPRAVCE'!$J30*'Vypocty indexu'!G38*('Cenova nabidka NAFTA'!$F26+IF(OR(G$33&lt;SH,G$33&gt;HH),'Cenova nabidka NAFTA'!$G26*1/(1+G$33)*IF(NaPoVo=0,0,'Beh smlouvy'!F$8/NaPoVo)+'Cenova nabidka NAFTA'!$H26*1/(1+G$33),'Cenova nabidka NAFTA'!$G26+'Cenova nabidka NAFTA'!$H26))</f>
        <v>0</v>
      </c>
      <c r="H27" s="120">
        <f>'NABIDKA DOPRAVCE'!$J30*'Vypocty indexu'!H38*('Cenova nabidka NAFTA'!$F26+IF(OR(H$33&lt;SH,H$33&gt;HH),'Cenova nabidka NAFTA'!$G26*1/(1+H$33)*IF(NaPoVo=0,0,'Beh smlouvy'!G$8/NaPoVo)+'Cenova nabidka NAFTA'!$H26*1/(1+H$33),'Cenova nabidka NAFTA'!$G26+'Cenova nabidka NAFTA'!$H26))</f>
        <v>0</v>
      </c>
      <c r="I27" s="120">
        <f>'NABIDKA DOPRAVCE'!$J30*'Vypocty indexu'!I38*('Cenova nabidka NAFTA'!$F26+IF(OR(I$33&lt;SH,I$33&gt;HH),'Cenova nabidka NAFTA'!$G26*1/(1+I$33)*IF(NaPoVo=0,0,'Beh smlouvy'!H$8/NaPoVo)+'Cenova nabidka NAFTA'!$H26*1/(1+I$33),'Cenova nabidka NAFTA'!$G26+'Cenova nabidka NAFTA'!$H26))</f>
        <v>0</v>
      </c>
      <c r="J27" s="120">
        <f>'NABIDKA DOPRAVCE'!$J30*'Vypocty indexu'!J38*('Cenova nabidka NAFTA'!$F26+IF(OR(J$33&lt;SH,J$33&gt;HH),'Cenova nabidka NAFTA'!$G26*1/(1+J$33)*IF(NaPoVo=0,0,'Beh smlouvy'!I$8/NaPoVo)+'Cenova nabidka NAFTA'!$H26*1/(1+J$33),'Cenova nabidka NAFTA'!$G26+'Cenova nabidka NAFTA'!$H26))</f>
        <v>0</v>
      </c>
      <c r="K27" s="120">
        <f>'NABIDKA DOPRAVCE'!$J30*'Vypocty indexu'!K38*('Cenova nabidka NAFTA'!$F26+IF(OR(K$33&lt;SH,K$33&gt;HH),'Cenova nabidka NAFTA'!$G26*1/(1+K$33)*IF(NaPoVo=0,0,'Beh smlouvy'!J$8/NaPoVo)+'Cenova nabidka NAFTA'!$H26*1/(1+K$33),'Cenova nabidka NAFTA'!$G26+'Cenova nabidka NAFTA'!$H26))</f>
        <v>0</v>
      </c>
      <c r="L27" s="120">
        <f>'NABIDKA DOPRAVCE'!$J30*'Vypocty indexu'!L38*('Cenova nabidka NAFTA'!$F26+IF(OR(L$33&lt;SH,L$33&gt;HH),'Cenova nabidka NAFTA'!$G26*1/(1+L$33)*IF(NaPoVo=0,0,'Beh smlouvy'!K$8/NaPoVo)+'Cenova nabidka NAFTA'!$H26*1/(1+L$33),'Cenova nabidka NAFTA'!$G26+'Cenova nabidka NAFTA'!$H26))</f>
        <v>0</v>
      </c>
      <c r="M27" s="120">
        <f>'NABIDKA DOPRAVCE'!$J30*'Vypocty indexu'!M38*('Cenova nabidka NAFTA'!$F26+IF(OR(M$33&lt;SH,M$33&gt;HH),'Cenova nabidka NAFTA'!$G26*1/(1+M$33)*IF(NaPoVo=0,0,'Beh smlouvy'!L$8/NaPoVo)+'Cenova nabidka NAFTA'!$H26*1/(1+M$33),'Cenova nabidka NAFTA'!$G26+'Cenova nabidka NAFTA'!$H26))</f>
        <v>0</v>
      </c>
      <c r="N27" s="120">
        <f>'NABIDKA DOPRAVCE'!$J30*'Vypocty indexu'!N38*('Cenova nabidka NAFTA'!$F26+IF(OR(N$33&lt;SH,N$33&gt;HH),'Cenova nabidka NAFTA'!$G26*1/(1+N$33)*IF(NaPoVo=0,0,'Beh smlouvy'!M$8/NaPoVo)+'Cenova nabidka NAFTA'!$H26*1/(1+N$33),'Cenova nabidka NAFTA'!$G26+'Cenova nabidka NAFTA'!$H26))</f>
        <v>0</v>
      </c>
    </row>
    <row r="28" spans="2:14" ht="12.75" outlineLevel="1">
      <c r="B28" s="56">
        <v>25</v>
      </c>
      <c r="C28" s="47" t="s">
        <v>20</v>
      </c>
      <c r="D28" s="193"/>
      <c r="E28" s="120">
        <f>'NABIDKA DOPRAVCE'!$J31*'Vypocty indexu'!E39*('Cenova nabidka NAFTA'!$F27+IF(OR(E$33&lt;SH,E$33&gt;HH),'Cenova nabidka NAFTA'!$G27*1/(1+E$33)*IF(NaPoVo=0,0,'Beh smlouvy'!D$8/NaPoVo)+'Cenova nabidka NAFTA'!$H27*1/(1+E$33),'Cenova nabidka NAFTA'!$G27+'Cenova nabidka NAFTA'!$H27))</f>
        <v>0</v>
      </c>
      <c r="F28" s="120">
        <f>'NABIDKA DOPRAVCE'!$J31*'Vypocty indexu'!F39*('Cenova nabidka NAFTA'!$F27+IF(OR(F$33&lt;SH,F$33&gt;HH),'Cenova nabidka NAFTA'!$G27*1/(1+F$33)*IF(NaPoVo=0,0,'Beh smlouvy'!E$8/NaPoVo)+'Cenova nabidka NAFTA'!$H27*1/(1+F$33),'Cenova nabidka NAFTA'!$G27+'Cenova nabidka NAFTA'!$H27))</f>
        <v>0</v>
      </c>
      <c r="G28" s="120">
        <f>'NABIDKA DOPRAVCE'!$J31*'Vypocty indexu'!G39*('Cenova nabidka NAFTA'!$F27+IF(OR(G$33&lt;SH,G$33&gt;HH),'Cenova nabidka NAFTA'!$G27*1/(1+G$33)*IF(NaPoVo=0,0,'Beh smlouvy'!F$8/NaPoVo)+'Cenova nabidka NAFTA'!$H27*1/(1+G$33),'Cenova nabidka NAFTA'!$G27+'Cenova nabidka NAFTA'!$H27))</f>
        <v>0</v>
      </c>
      <c r="H28" s="120">
        <f>'NABIDKA DOPRAVCE'!$J31*'Vypocty indexu'!H39*('Cenova nabidka NAFTA'!$F27+IF(OR(H$33&lt;SH,H$33&gt;HH),'Cenova nabidka NAFTA'!$G27*1/(1+H$33)*IF(NaPoVo=0,0,'Beh smlouvy'!G$8/NaPoVo)+'Cenova nabidka NAFTA'!$H27*1/(1+H$33),'Cenova nabidka NAFTA'!$G27+'Cenova nabidka NAFTA'!$H27))</f>
        <v>0</v>
      </c>
      <c r="I28" s="120">
        <f>'NABIDKA DOPRAVCE'!$J31*'Vypocty indexu'!I39*('Cenova nabidka NAFTA'!$F27+IF(OR(I$33&lt;SH,I$33&gt;HH),'Cenova nabidka NAFTA'!$G27*1/(1+I$33)*IF(NaPoVo=0,0,'Beh smlouvy'!H$8/NaPoVo)+'Cenova nabidka NAFTA'!$H27*1/(1+I$33),'Cenova nabidka NAFTA'!$G27+'Cenova nabidka NAFTA'!$H27))</f>
        <v>0</v>
      </c>
      <c r="J28" s="120">
        <f>'NABIDKA DOPRAVCE'!$J31*'Vypocty indexu'!J39*('Cenova nabidka NAFTA'!$F27+IF(OR(J$33&lt;SH,J$33&gt;HH),'Cenova nabidka NAFTA'!$G27*1/(1+J$33)*IF(NaPoVo=0,0,'Beh smlouvy'!I$8/NaPoVo)+'Cenova nabidka NAFTA'!$H27*1/(1+J$33),'Cenova nabidka NAFTA'!$G27+'Cenova nabidka NAFTA'!$H27))</f>
        <v>0</v>
      </c>
      <c r="K28" s="120">
        <f>'NABIDKA DOPRAVCE'!$J31*'Vypocty indexu'!K39*('Cenova nabidka NAFTA'!$F27+IF(OR(K$33&lt;SH,K$33&gt;HH),'Cenova nabidka NAFTA'!$G27*1/(1+K$33)*IF(NaPoVo=0,0,'Beh smlouvy'!J$8/NaPoVo)+'Cenova nabidka NAFTA'!$H27*1/(1+K$33),'Cenova nabidka NAFTA'!$G27+'Cenova nabidka NAFTA'!$H27))</f>
        <v>0</v>
      </c>
      <c r="L28" s="120">
        <f>'NABIDKA DOPRAVCE'!$J31*'Vypocty indexu'!L39*('Cenova nabidka NAFTA'!$F27+IF(OR(L$33&lt;SH,L$33&gt;HH),'Cenova nabidka NAFTA'!$G27*1/(1+L$33)*IF(NaPoVo=0,0,'Beh smlouvy'!K$8/NaPoVo)+'Cenova nabidka NAFTA'!$H27*1/(1+L$33),'Cenova nabidka NAFTA'!$G27+'Cenova nabidka NAFTA'!$H27))</f>
        <v>0</v>
      </c>
      <c r="M28" s="120">
        <f>'NABIDKA DOPRAVCE'!$J31*'Vypocty indexu'!M39*('Cenova nabidka NAFTA'!$F27+IF(OR(M$33&lt;SH,M$33&gt;HH),'Cenova nabidka NAFTA'!$G27*1/(1+M$33)*IF(NaPoVo=0,0,'Beh smlouvy'!L$8/NaPoVo)+'Cenova nabidka NAFTA'!$H27*1/(1+M$33),'Cenova nabidka NAFTA'!$G27+'Cenova nabidka NAFTA'!$H27))</f>
        <v>0</v>
      </c>
      <c r="N28" s="120">
        <f>'NABIDKA DOPRAVCE'!$J31*'Vypocty indexu'!N39*('Cenova nabidka NAFTA'!$F27+IF(OR(N$33&lt;SH,N$33&gt;HH),'Cenova nabidka NAFTA'!$G27*1/(1+N$33)*IF(NaPoVo=0,0,'Beh smlouvy'!M$8/NaPoVo)+'Cenova nabidka NAFTA'!$H27*1/(1+N$33),'Cenova nabidka NAFTA'!$G27+'Cenova nabidka NAFTA'!$H27))</f>
        <v>0</v>
      </c>
    </row>
    <row r="29" spans="2:14" ht="12.75" outlineLevel="1">
      <c r="B29" s="67"/>
      <c r="C29" s="47"/>
      <c r="D29" s="193"/>
      <c r="E29" s="120"/>
      <c r="F29" s="120"/>
      <c r="G29" s="120"/>
      <c r="H29" s="120"/>
      <c r="I29" s="120"/>
      <c r="J29" s="120"/>
      <c r="K29" s="120"/>
      <c r="L29" s="120"/>
      <c r="M29" s="120"/>
      <c r="N29" s="120"/>
    </row>
    <row r="30" spans="2:14" ht="12.75" outlineLevel="1">
      <c r="B30" s="56">
        <v>97</v>
      </c>
      <c r="C30" s="47" t="s">
        <v>84</v>
      </c>
      <c r="D30" s="193"/>
      <c r="E30" s="120">
        <f>'NABIDKA DOPRAVCE'!$J33*'Vypocty indexu'!E41*('Cenova nabidka NAFTA'!$F29+IF(OR(E$33&lt;SH,E$33&gt;HH),'Cenova nabidka NAFTA'!$G29*1/(1+E$33)*IF(NaPoVo=0,0,'Beh smlouvy'!D$8/NaPoVo)+'Cenova nabidka NAFTA'!$H29*1/(1+E$33),'Cenova nabidka NAFTA'!$G29+'Cenova nabidka NAFTA'!$H29))</f>
        <v>0</v>
      </c>
      <c r="F30" s="120">
        <f>'NABIDKA DOPRAVCE'!$J33*'Vypocty indexu'!F41*('Cenova nabidka NAFTA'!$F29+IF(OR(F$33&lt;SH,F$33&gt;HH),'Cenova nabidka NAFTA'!$G29*1/(1+F$33)*IF(NaPoVo=0,0,'Beh smlouvy'!E$8/NaPoVo)+'Cenova nabidka NAFTA'!$H29*1/(1+F$33),'Cenova nabidka NAFTA'!$G29+'Cenova nabidka NAFTA'!$H29))</f>
        <v>0</v>
      </c>
      <c r="G30" s="120">
        <f>'NABIDKA DOPRAVCE'!$J33*'Vypocty indexu'!G41*('Cenova nabidka NAFTA'!$F29+IF(OR(G$33&lt;SH,G$33&gt;HH),'Cenova nabidka NAFTA'!$G29*1/(1+G$33)*IF(NaPoVo=0,0,'Beh smlouvy'!F$8/NaPoVo)+'Cenova nabidka NAFTA'!$H29*1/(1+G$33),'Cenova nabidka NAFTA'!$G29+'Cenova nabidka NAFTA'!$H29))</f>
        <v>0</v>
      </c>
      <c r="H30" s="120">
        <f>'NABIDKA DOPRAVCE'!$J33*'Vypocty indexu'!H41*('Cenova nabidka NAFTA'!$F29+IF(OR(H$33&lt;SH,H$33&gt;HH),'Cenova nabidka NAFTA'!$G29*1/(1+H$33)*IF(NaPoVo=0,0,'Beh smlouvy'!G$8/NaPoVo)+'Cenova nabidka NAFTA'!$H29*1/(1+H$33),'Cenova nabidka NAFTA'!$G29+'Cenova nabidka NAFTA'!$H29))</f>
        <v>0</v>
      </c>
      <c r="I30" s="120">
        <f>'NABIDKA DOPRAVCE'!$J33*'Vypocty indexu'!I41*('Cenova nabidka NAFTA'!$F29+IF(OR(I$33&lt;SH,I$33&gt;HH),'Cenova nabidka NAFTA'!$G29*1/(1+I$33)*IF(NaPoVo=0,0,'Beh smlouvy'!H$8/NaPoVo)+'Cenova nabidka NAFTA'!$H29*1/(1+I$33),'Cenova nabidka NAFTA'!$G29+'Cenova nabidka NAFTA'!$H29))</f>
        <v>0</v>
      </c>
      <c r="J30" s="120">
        <f>'NABIDKA DOPRAVCE'!$J33*'Vypocty indexu'!J41*('Cenova nabidka NAFTA'!$F29+IF(OR(J$33&lt;SH,J$33&gt;HH),'Cenova nabidka NAFTA'!$G29*1/(1+J$33)*IF(NaPoVo=0,0,'Beh smlouvy'!I$8/NaPoVo)+'Cenova nabidka NAFTA'!$H29*1/(1+J$33),'Cenova nabidka NAFTA'!$G29+'Cenova nabidka NAFTA'!$H29))</f>
        <v>0</v>
      </c>
      <c r="K30" s="120">
        <f>'NABIDKA DOPRAVCE'!$J33*'Vypocty indexu'!K41*('Cenova nabidka NAFTA'!$F29+IF(OR(K$33&lt;SH,K$33&gt;HH),'Cenova nabidka NAFTA'!$G29*1/(1+K$33)*IF(NaPoVo=0,0,'Beh smlouvy'!J$8/NaPoVo)+'Cenova nabidka NAFTA'!$H29*1/(1+K$33),'Cenova nabidka NAFTA'!$G29+'Cenova nabidka NAFTA'!$H29))</f>
        <v>0</v>
      </c>
      <c r="L30" s="120">
        <f>'NABIDKA DOPRAVCE'!$J33*'Vypocty indexu'!L41*('Cenova nabidka NAFTA'!$F29+IF(OR(L$33&lt;SH,L$33&gt;HH),'Cenova nabidka NAFTA'!$G29*1/(1+L$33)*IF(NaPoVo=0,0,'Beh smlouvy'!K$8/NaPoVo)+'Cenova nabidka NAFTA'!$H29*1/(1+L$33),'Cenova nabidka NAFTA'!$G29+'Cenova nabidka NAFTA'!$H29))</f>
        <v>0</v>
      </c>
      <c r="M30" s="120">
        <f>'NABIDKA DOPRAVCE'!$J33*'Vypocty indexu'!M41*('Cenova nabidka NAFTA'!$F29+IF(OR(M$33&lt;SH,M$33&gt;HH),'Cenova nabidka NAFTA'!$G29*1/(1+M$33)*IF(NaPoVo=0,0,'Beh smlouvy'!L$8/NaPoVo)+'Cenova nabidka NAFTA'!$H29*1/(1+M$33),'Cenova nabidka NAFTA'!$G29+'Cenova nabidka NAFTA'!$H29))</f>
        <v>0</v>
      </c>
      <c r="N30" s="120">
        <f>'NABIDKA DOPRAVCE'!$J33*'Vypocty indexu'!N41*('Cenova nabidka NAFTA'!$F29+IF(OR(N$33&lt;SH,N$33&gt;HH),'Cenova nabidka NAFTA'!$G29*1/(1+N$33)*IF(NaPoVo=0,0,'Beh smlouvy'!M$8/NaPoVo)+'Cenova nabidka NAFTA'!$H29*1/(1+N$33),'Cenova nabidka NAFTA'!$G29+'Cenova nabidka NAFTA'!$H29))</f>
        <v>0</v>
      </c>
    </row>
    <row r="31" spans="2:14" ht="12.75" outlineLevel="1">
      <c r="B31" s="56">
        <v>98</v>
      </c>
      <c r="C31" s="47" t="s">
        <v>44</v>
      </c>
      <c r="D31" s="193"/>
      <c r="E31" s="120">
        <f>'NABIDKA DOPRAVCE'!$J34*'Vypocty indexu'!E42*('Cenova nabidka NAFTA'!$F30+IF(OR(E$33&lt;SH,E$33&gt;HH),'Cenova nabidka NAFTA'!$G30*1/(1+E$33)*IF(NaPoVo=0,0,'Beh smlouvy'!D$8/NaPoVo)+'Cenova nabidka NAFTA'!$H30*1/(1+E$33),'Cenova nabidka NAFTA'!$G30+'Cenova nabidka NAFTA'!$H30))</f>
        <v>0</v>
      </c>
      <c r="F31" s="120">
        <f>'NABIDKA DOPRAVCE'!$J34*'Vypocty indexu'!F42*('Cenova nabidka NAFTA'!$F30+IF(OR(F$33&lt;SH,F$33&gt;HH),'Cenova nabidka NAFTA'!$G30*1/(1+F$33)*IF(NaPoVo=0,0,'Beh smlouvy'!E$8/NaPoVo)+'Cenova nabidka NAFTA'!$H30*1/(1+F$33),'Cenova nabidka NAFTA'!$G30+'Cenova nabidka NAFTA'!$H30))</f>
        <v>0</v>
      </c>
      <c r="G31" s="120">
        <f>'NABIDKA DOPRAVCE'!$J34*'Vypocty indexu'!G42*('Cenova nabidka NAFTA'!$F30+IF(OR(G$33&lt;SH,G$33&gt;HH),'Cenova nabidka NAFTA'!$G30*1/(1+G$33)*IF(NaPoVo=0,0,'Beh smlouvy'!F$8/NaPoVo)+'Cenova nabidka NAFTA'!$H30*1/(1+G$33),'Cenova nabidka NAFTA'!$G30+'Cenova nabidka NAFTA'!$H30))</f>
        <v>0</v>
      </c>
      <c r="H31" s="120">
        <f>'NABIDKA DOPRAVCE'!$J34*'Vypocty indexu'!H42*('Cenova nabidka NAFTA'!$F30+IF(OR(H$33&lt;SH,H$33&gt;HH),'Cenova nabidka NAFTA'!$G30*1/(1+H$33)*IF(NaPoVo=0,0,'Beh smlouvy'!G$8/NaPoVo)+'Cenova nabidka NAFTA'!$H30*1/(1+H$33),'Cenova nabidka NAFTA'!$G30+'Cenova nabidka NAFTA'!$H30))</f>
        <v>0</v>
      </c>
      <c r="I31" s="120">
        <f>'NABIDKA DOPRAVCE'!$J34*'Vypocty indexu'!I42*('Cenova nabidka NAFTA'!$F30+IF(OR(I$33&lt;SH,I$33&gt;HH),'Cenova nabidka NAFTA'!$G30*1/(1+I$33)*IF(NaPoVo=0,0,'Beh smlouvy'!H$8/NaPoVo)+'Cenova nabidka NAFTA'!$H30*1/(1+I$33),'Cenova nabidka NAFTA'!$G30+'Cenova nabidka NAFTA'!$H30))</f>
        <v>0</v>
      </c>
      <c r="J31" s="120">
        <f>'NABIDKA DOPRAVCE'!$J34*'Vypocty indexu'!J42*('Cenova nabidka NAFTA'!$F30+IF(OR(J$33&lt;SH,J$33&gt;HH),'Cenova nabidka NAFTA'!$G30*1/(1+J$33)*IF(NaPoVo=0,0,'Beh smlouvy'!I$8/NaPoVo)+'Cenova nabidka NAFTA'!$H30*1/(1+J$33),'Cenova nabidka NAFTA'!$G30+'Cenova nabidka NAFTA'!$H30))</f>
        <v>0</v>
      </c>
      <c r="K31" s="120">
        <f>'NABIDKA DOPRAVCE'!$J34*'Vypocty indexu'!K42*('Cenova nabidka NAFTA'!$F30+IF(OR(K$33&lt;SH,K$33&gt;HH),'Cenova nabidka NAFTA'!$G30*1/(1+K$33)*IF(NaPoVo=0,0,'Beh smlouvy'!J$8/NaPoVo)+'Cenova nabidka NAFTA'!$H30*1/(1+K$33),'Cenova nabidka NAFTA'!$G30+'Cenova nabidka NAFTA'!$H30))</f>
        <v>0</v>
      </c>
      <c r="L31" s="120">
        <f>'NABIDKA DOPRAVCE'!$J34*'Vypocty indexu'!L42*('Cenova nabidka NAFTA'!$F30+IF(OR(L$33&lt;SH,L$33&gt;HH),'Cenova nabidka NAFTA'!$G30*1/(1+L$33)*IF(NaPoVo=0,0,'Beh smlouvy'!K$8/NaPoVo)+'Cenova nabidka NAFTA'!$H30*1/(1+L$33),'Cenova nabidka NAFTA'!$G30+'Cenova nabidka NAFTA'!$H30))</f>
        <v>0</v>
      </c>
      <c r="M31" s="120">
        <f>'NABIDKA DOPRAVCE'!$J34*'Vypocty indexu'!M42*('Cenova nabidka NAFTA'!$F30+IF(OR(M$33&lt;SH,M$33&gt;HH),'Cenova nabidka NAFTA'!$G30*1/(1+M$33)*IF(NaPoVo=0,0,'Beh smlouvy'!L$8/NaPoVo)+'Cenova nabidka NAFTA'!$H30*1/(1+M$33),'Cenova nabidka NAFTA'!$G30+'Cenova nabidka NAFTA'!$H30))</f>
        <v>0</v>
      </c>
      <c r="N31" s="120">
        <f>'NABIDKA DOPRAVCE'!$J34*'Vypocty indexu'!N42*('Cenova nabidka NAFTA'!$F30+IF(OR(N$33&lt;SH,N$33&gt;HH),'Cenova nabidka NAFTA'!$G30*1/(1+N$33)*IF(NaPoVo=0,0,'Beh smlouvy'!M$8/NaPoVo)+'Cenova nabidka NAFTA'!$H30*1/(1+N$33),'Cenova nabidka NAFTA'!$G30+'Cenova nabidka NAFTA'!$H30))</f>
        <v>0</v>
      </c>
    </row>
    <row r="32" spans="2:14" ht="12.75" outlineLevel="1">
      <c r="B32" s="56">
        <v>99</v>
      </c>
      <c r="C32" s="47" t="s">
        <v>226</v>
      </c>
      <c r="D32" s="193"/>
      <c r="E32" s="120">
        <f>'NABIDKA DOPRAVCE'!$J35*'Vypocty indexu'!E43*('Cenova nabidka NAFTA'!$F31+IF(OR(E$33&lt;SH,E$33&gt;HH),'Cenova nabidka NAFTA'!$G31*1/(1+E$33)*IF(NaPoVo=0,0,'Beh smlouvy'!D$8/NaPoVo)+'Cenova nabidka NAFTA'!$H31*1/(1+E$33),'Cenova nabidka NAFTA'!$G31+'Cenova nabidka NAFTA'!$H31))</f>
        <v>1.1</v>
      </c>
      <c r="F32" s="120">
        <f>'NABIDKA DOPRAVCE'!$J35*'Vypocty indexu'!F43*('Cenova nabidka NAFTA'!$F31+IF(OR(F$33&lt;SH,F$33&gt;HH),'Cenova nabidka NAFTA'!$G31*1/(1+F$33)*IF(NaPoVo=0,0,'Beh smlouvy'!E$8/NaPoVo)+'Cenova nabidka NAFTA'!$H31*1/(1+F$33),'Cenova nabidka NAFTA'!$G31+'Cenova nabidka NAFTA'!$H31))</f>
        <v>0</v>
      </c>
      <c r="G32" s="120">
        <f>'NABIDKA DOPRAVCE'!$J35*'Vypocty indexu'!G43*('Cenova nabidka NAFTA'!$F31+IF(OR(G$33&lt;SH,G$33&gt;HH),'Cenova nabidka NAFTA'!$G31*1/(1+G$33)*IF(NaPoVo=0,0,'Beh smlouvy'!F$8/NaPoVo)+'Cenova nabidka NAFTA'!$H31*1/(1+G$33),'Cenova nabidka NAFTA'!$G31+'Cenova nabidka NAFTA'!$H31))</f>
        <v>0</v>
      </c>
      <c r="H32" s="120">
        <f>'NABIDKA DOPRAVCE'!$J35*'Vypocty indexu'!H43*('Cenova nabidka NAFTA'!$F31+IF(OR(H$33&lt;SH,H$33&gt;HH),'Cenova nabidka NAFTA'!$G31*1/(1+H$33)*IF(NaPoVo=0,0,'Beh smlouvy'!G$8/NaPoVo)+'Cenova nabidka NAFTA'!$H31*1/(1+H$33),'Cenova nabidka NAFTA'!$G31+'Cenova nabidka NAFTA'!$H31))</f>
        <v>0</v>
      </c>
      <c r="I32" s="120">
        <f>'NABIDKA DOPRAVCE'!$J35*'Vypocty indexu'!I43*('Cenova nabidka NAFTA'!$F31+IF(OR(I$33&lt;SH,I$33&gt;HH),'Cenova nabidka NAFTA'!$G31*1/(1+I$33)*IF(NaPoVo=0,0,'Beh smlouvy'!H$8/NaPoVo)+'Cenova nabidka NAFTA'!$H31*1/(1+I$33),'Cenova nabidka NAFTA'!$G31+'Cenova nabidka NAFTA'!$H31))</f>
        <v>0</v>
      </c>
      <c r="J32" s="120">
        <f>'NABIDKA DOPRAVCE'!$J35*'Vypocty indexu'!J43*('Cenova nabidka NAFTA'!$F31+IF(OR(J$33&lt;SH,J$33&gt;HH),'Cenova nabidka NAFTA'!$G31*1/(1+J$33)*IF(NaPoVo=0,0,'Beh smlouvy'!I$8/NaPoVo)+'Cenova nabidka NAFTA'!$H31*1/(1+J$33),'Cenova nabidka NAFTA'!$G31+'Cenova nabidka NAFTA'!$H31))</f>
        <v>0</v>
      </c>
      <c r="K32" s="120">
        <f>'NABIDKA DOPRAVCE'!$J35*'Vypocty indexu'!K43*('Cenova nabidka NAFTA'!$F31+IF(OR(K$33&lt;SH,K$33&gt;HH),'Cenova nabidka NAFTA'!$G31*1/(1+K$33)*IF(NaPoVo=0,0,'Beh smlouvy'!J$8/NaPoVo)+'Cenova nabidka NAFTA'!$H31*1/(1+K$33),'Cenova nabidka NAFTA'!$G31+'Cenova nabidka NAFTA'!$H31))</f>
        <v>0</v>
      </c>
      <c r="L32" s="120">
        <f>'NABIDKA DOPRAVCE'!$J35*'Vypocty indexu'!L43*('Cenova nabidka NAFTA'!$F31+IF(OR(L$33&lt;SH,L$33&gt;HH),'Cenova nabidka NAFTA'!$G31*1/(1+L$33)*IF(NaPoVo=0,0,'Beh smlouvy'!K$8/NaPoVo)+'Cenova nabidka NAFTA'!$H31*1/(1+L$33),'Cenova nabidka NAFTA'!$G31+'Cenova nabidka NAFTA'!$H31))</f>
        <v>0</v>
      </c>
      <c r="M32" s="120">
        <f>'NABIDKA DOPRAVCE'!$J35*'Vypocty indexu'!M43*('Cenova nabidka NAFTA'!$F31+IF(OR(M$33&lt;SH,M$33&gt;HH),'Cenova nabidka NAFTA'!$G31*1/(1+M$33)*IF(NaPoVo=0,0,'Beh smlouvy'!L$8/NaPoVo)+'Cenova nabidka NAFTA'!$H31*1/(1+M$33),'Cenova nabidka NAFTA'!$G31+'Cenova nabidka NAFTA'!$H31))</f>
        <v>0</v>
      </c>
      <c r="N32" s="120">
        <f>'NABIDKA DOPRAVCE'!$J35*'Vypocty indexu'!N43*('Cenova nabidka NAFTA'!$F31+IF(OR(N$33&lt;SH,N$33&gt;HH),'Cenova nabidka NAFTA'!$G31*1/(1+N$33)*IF(NaPoVo=0,0,'Beh smlouvy'!M$8/NaPoVo)+'Cenova nabidka NAFTA'!$H31*1/(1+N$33),'Cenova nabidka NAFTA'!$G31+'Cenova nabidka NAFTA'!$H31))</f>
        <v>0</v>
      </c>
    </row>
    <row r="33" spans="2:14" ht="12.75" outlineLevel="1">
      <c r="B33" s="68"/>
      <c r="C33" s="47" t="s">
        <v>71</v>
      </c>
      <c r="D33" s="28"/>
      <c r="E33" s="72">
        <f>'Beh smlouvy'!D6</f>
        <v>0</v>
      </c>
      <c r="F33" s="72">
        <f>'Beh smlouvy'!E6</f>
        <v>0</v>
      </c>
      <c r="G33" s="72">
        <f>'Beh smlouvy'!F6</f>
        <v>0</v>
      </c>
      <c r="H33" s="72">
        <f>'Beh smlouvy'!G6</f>
        <v>0</v>
      </c>
      <c r="I33" s="72">
        <f>'Beh smlouvy'!H6</f>
        <v>0</v>
      </c>
      <c r="J33" s="72">
        <f>'Beh smlouvy'!I6</f>
        <v>0</v>
      </c>
      <c r="K33" s="72">
        <f>'Beh smlouvy'!J6</f>
        <v>0</v>
      </c>
      <c r="L33" s="72">
        <f>'Beh smlouvy'!K6</f>
        <v>0</v>
      </c>
      <c r="M33" s="72">
        <f>'Beh smlouvy'!L6</f>
        <v>0</v>
      </c>
      <c r="N33" s="72">
        <f>'Beh smlouvy'!M6</f>
        <v>0</v>
      </c>
    </row>
    <row r="34" spans="2:15" s="11" customFormat="1" ht="12.75">
      <c r="B34" s="190"/>
      <c r="C34" s="63" t="s">
        <v>106</v>
      </c>
      <c r="D34" s="193"/>
      <c r="E34" s="119">
        <f>ROUND(SUM(E8:E32),2)</f>
        <v>1.13</v>
      </c>
      <c r="F34" s="119">
        <f aca="true" t="shared" si="1" ref="F34:N34">ROUND(SUM(F8:F32),2)</f>
        <v>0</v>
      </c>
      <c r="G34" s="119">
        <f t="shared" si="1"/>
        <v>0</v>
      </c>
      <c r="H34" s="119">
        <f t="shared" si="1"/>
        <v>0</v>
      </c>
      <c r="I34" s="119">
        <f t="shared" si="1"/>
        <v>0</v>
      </c>
      <c r="J34" s="119">
        <f t="shared" si="1"/>
        <v>0</v>
      </c>
      <c r="K34" s="119">
        <f t="shared" si="1"/>
        <v>0</v>
      </c>
      <c r="L34" s="119">
        <f t="shared" si="1"/>
        <v>0</v>
      </c>
      <c r="M34" s="119">
        <f t="shared" si="1"/>
        <v>0</v>
      </c>
      <c r="N34" s="119">
        <f t="shared" si="1"/>
        <v>0</v>
      </c>
      <c r="O34" s="66"/>
    </row>
    <row r="35" spans="2:15" s="11" customFormat="1" ht="12.75">
      <c r="B35" s="187"/>
      <c r="C35" s="55"/>
      <c r="D35" s="188"/>
      <c r="E35" s="196"/>
      <c r="F35" s="191"/>
      <c r="G35" s="191"/>
      <c r="H35" s="191"/>
      <c r="I35" s="191"/>
      <c r="J35" s="191"/>
      <c r="K35" s="191"/>
      <c r="L35" s="191"/>
      <c r="M35" s="191"/>
      <c r="N35" s="197"/>
      <c r="O35" s="66"/>
    </row>
    <row r="36" spans="2:14" ht="12.75">
      <c r="B36" s="11" t="str">
        <f>'Beh smlouvy'!B19</f>
        <v>Cena Vozokm neujetého Spoje (pokud důvod pro neujetí nebyl na straně Dopravce)</v>
      </c>
      <c r="D36" s="54"/>
      <c r="E36" s="101"/>
      <c r="F36" s="54"/>
      <c r="G36" s="54"/>
      <c r="H36" s="54"/>
      <c r="I36" s="54"/>
      <c r="J36" s="54"/>
      <c r="K36" s="54"/>
      <c r="L36" s="54"/>
      <c r="M36" s="54"/>
      <c r="N36" s="102"/>
    </row>
    <row r="37" spans="2:14" ht="12.75" outlineLevel="1">
      <c r="B37" s="53" t="s">
        <v>35</v>
      </c>
      <c r="C37" s="53" t="s">
        <v>65</v>
      </c>
      <c r="D37" s="54"/>
      <c r="E37" s="84"/>
      <c r="F37" s="186"/>
      <c r="G37" s="186"/>
      <c r="H37" s="186"/>
      <c r="I37" s="186"/>
      <c r="J37" s="186"/>
      <c r="K37" s="186"/>
      <c r="L37" s="186"/>
      <c r="M37" s="186"/>
      <c r="N37" s="195"/>
    </row>
    <row r="38" spans="2:14" ht="12.75" outlineLevel="1">
      <c r="B38" s="56" t="s">
        <v>22</v>
      </c>
      <c r="C38" s="47" t="s">
        <v>125</v>
      </c>
      <c r="D38" s="193"/>
      <c r="E38" s="120">
        <f>'NABIDKA DOPRAVCE'!$J11*'Vypocty indexu'!E19*('Cenova nabidka NAFTA'!$G7+'Cenova nabidka NAFTA'!$H7)</f>
        <v>0</v>
      </c>
      <c r="F38" s="120">
        <f>'NABIDKA DOPRAVCE'!$J11*'Vypocty indexu'!F19*('Cenova nabidka NAFTA'!$G7+'Cenova nabidka NAFTA'!$H7)</f>
        <v>0</v>
      </c>
      <c r="G38" s="120">
        <f>'NABIDKA DOPRAVCE'!$J11*'Vypocty indexu'!G19*('Cenova nabidka NAFTA'!$G7+'Cenova nabidka NAFTA'!$H7)</f>
        <v>0</v>
      </c>
      <c r="H38" s="120">
        <f>'NABIDKA DOPRAVCE'!$J11*'Vypocty indexu'!H19*('Cenova nabidka NAFTA'!$G7+'Cenova nabidka NAFTA'!$H7)</f>
        <v>0</v>
      </c>
      <c r="I38" s="120">
        <f>'NABIDKA DOPRAVCE'!$J11*'Vypocty indexu'!I19*('Cenova nabidka NAFTA'!$G7+'Cenova nabidka NAFTA'!$H7)</f>
        <v>0</v>
      </c>
      <c r="J38" s="120">
        <f>'NABIDKA DOPRAVCE'!$J11*'Vypocty indexu'!J19*('Cenova nabidka NAFTA'!$G7+'Cenova nabidka NAFTA'!$H7)</f>
        <v>0</v>
      </c>
      <c r="K38" s="120">
        <f>'NABIDKA DOPRAVCE'!$J11*'Vypocty indexu'!K19*('Cenova nabidka NAFTA'!$G7+'Cenova nabidka NAFTA'!$H7)</f>
        <v>0</v>
      </c>
      <c r="L38" s="120">
        <f>'NABIDKA DOPRAVCE'!$J11*'Vypocty indexu'!L19*('Cenova nabidka NAFTA'!$G7+'Cenova nabidka NAFTA'!$H7)</f>
        <v>0</v>
      </c>
      <c r="M38" s="120">
        <f>'NABIDKA DOPRAVCE'!$J11*'Vypocty indexu'!M19*('Cenova nabidka NAFTA'!$G7+'Cenova nabidka NAFTA'!$H7)</f>
        <v>0</v>
      </c>
      <c r="N38" s="120">
        <f>'NABIDKA DOPRAVCE'!$J11*'Vypocty indexu'!N19*('Cenova nabidka NAFTA'!$G7+'Cenova nabidka NAFTA'!$H7)</f>
        <v>0</v>
      </c>
    </row>
    <row r="39" spans="2:14" ht="12.75" outlineLevel="1">
      <c r="B39" s="56" t="s">
        <v>23</v>
      </c>
      <c r="C39" s="47" t="s">
        <v>126</v>
      </c>
      <c r="D39" s="193"/>
      <c r="E39" s="120">
        <f>'NABIDKA DOPRAVCE'!$J12*'Vypocty indexu'!E20*('Cenova nabidka NAFTA'!$G8+'Cenova nabidka NAFTA'!$H8)</f>
        <v>0</v>
      </c>
      <c r="F39" s="120">
        <f>'NABIDKA DOPRAVCE'!$J12*'Vypocty indexu'!F20*('Cenova nabidka NAFTA'!$G8+'Cenova nabidka NAFTA'!$H8)</f>
        <v>0</v>
      </c>
      <c r="G39" s="120">
        <f>'NABIDKA DOPRAVCE'!$J12*'Vypocty indexu'!G20*('Cenova nabidka NAFTA'!$G8+'Cenova nabidka NAFTA'!$H8)</f>
        <v>0</v>
      </c>
      <c r="H39" s="120">
        <f>'NABIDKA DOPRAVCE'!$J12*'Vypocty indexu'!H20*('Cenova nabidka NAFTA'!$G8+'Cenova nabidka NAFTA'!$H8)</f>
        <v>0</v>
      </c>
      <c r="I39" s="120">
        <f>'NABIDKA DOPRAVCE'!$J12*'Vypocty indexu'!I20*('Cenova nabidka NAFTA'!$G8+'Cenova nabidka NAFTA'!$H8)</f>
        <v>0</v>
      </c>
      <c r="J39" s="120">
        <f>'NABIDKA DOPRAVCE'!$J12*'Vypocty indexu'!J20*('Cenova nabidka NAFTA'!$G8+'Cenova nabidka NAFTA'!$H8)</f>
        <v>0</v>
      </c>
      <c r="K39" s="120">
        <f>'NABIDKA DOPRAVCE'!$J12*'Vypocty indexu'!K20*('Cenova nabidka NAFTA'!$G8+'Cenova nabidka NAFTA'!$H8)</f>
        <v>0</v>
      </c>
      <c r="L39" s="120">
        <f>'NABIDKA DOPRAVCE'!$J12*'Vypocty indexu'!L20*('Cenova nabidka NAFTA'!$G8+'Cenova nabidka NAFTA'!$H8)</f>
        <v>0</v>
      </c>
      <c r="M39" s="120">
        <f>'NABIDKA DOPRAVCE'!$J12*'Vypocty indexu'!M20*('Cenova nabidka NAFTA'!$G8+'Cenova nabidka NAFTA'!$H8)</f>
        <v>0</v>
      </c>
      <c r="N39" s="120">
        <f>'NABIDKA DOPRAVCE'!$J12*'Vypocty indexu'!N20*('Cenova nabidka NAFTA'!$G8+'Cenova nabidka NAFTA'!$H8)</f>
        <v>0</v>
      </c>
    </row>
    <row r="40" spans="2:14" ht="12.75" outlineLevel="1">
      <c r="B40" s="56" t="s">
        <v>24</v>
      </c>
      <c r="C40" s="47" t="s">
        <v>262</v>
      </c>
      <c r="D40" s="193"/>
      <c r="E40" s="120">
        <f>'NABIDKA DOPRAVCE'!$J13*'Vypocty indexu'!E21*('Cenova nabidka NAFTA'!$G9+'Cenova nabidka NAFTA'!$H9)</f>
        <v>0</v>
      </c>
      <c r="F40" s="120">
        <f>'NABIDKA DOPRAVCE'!$J13*'Vypocty indexu'!F21*('Cenova nabidka NAFTA'!$G9+'Cenova nabidka NAFTA'!$H9)</f>
        <v>0</v>
      </c>
      <c r="G40" s="120">
        <f>'NABIDKA DOPRAVCE'!$J13*'Vypocty indexu'!G21*('Cenova nabidka NAFTA'!$G9+'Cenova nabidka NAFTA'!$H9)</f>
        <v>0</v>
      </c>
      <c r="H40" s="120">
        <f>'NABIDKA DOPRAVCE'!$J13*'Vypocty indexu'!H21*('Cenova nabidka NAFTA'!$G9+'Cenova nabidka NAFTA'!$H9)</f>
        <v>0</v>
      </c>
      <c r="I40" s="120">
        <f>'NABIDKA DOPRAVCE'!$J13*'Vypocty indexu'!I21*('Cenova nabidka NAFTA'!$G9+'Cenova nabidka NAFTA'!$H9)</f>
        <v>0</v>
      </c>
      <c r="J40" s="120">
        <f>'NABIDKA DOPRAVCE'!$J13*'Vypocty indexu'!J21*('Cenova nabidka NAFTA'!$G9+'Cenova nabidka NAFTA'!$H9)</f>
        <v>0</v>
      </c>
      <c r="K40" s="120">
        <f>'NABIDKA DOPRAVCE'!$J13*'Vypocty indexu'!K21*('Cenova nabidka NAFTA'!$G9+'Cenova nabidka NAFTA'!$H9)</f>
        <v>0</v>
      </c>
      <c r="L40" s="120">
        <f>'NABIDKA DOPRAVCE'!$J13*'Vypocty indexu'!L21*('Cenova nabidka NAFTA'!$G9+'Cenova nabidka NAFTA'!$H9)</f>
        <v>0</v>
      </c>
      <c r="M40" s="120">
        <f>'NABIDKA DOPRAVCE'!$J13*'Vypocty indexu'!M21*('Cenova nabidka NAFTA'!$G9+'Cenova nabidka NAFTA'!$H9)</f>
        <v>0</v>
      </c>
      <c r="N40" s="120">
        <f>'NABIDKA DOPRAVCE'!$J13*'Vypocty indexu'!N21*('Cenova nabidka NAFTA'!$G9+'Cenova nabidka NAFTA'!$H9)</f>
        <v>0</v>
      </c>
    </row>
    <row r="41" spans="2:14" ht="12.75" outlineLevel="1">
      <c r="B41" s="56" t="s">
        <v>123</v>
      </c>
      <c r="C41" s="47" t="s">
        <v>127</v>
      </c>
      <c r="D41" s="193"/>
      <c r="E41" s="120">
        <f>'NABIDKA DOPRAVCE'!$J14*'Vypocty indexu'!E22*('Cenova nabidka NAFTA'!$G10+'Cenova nabidka NAFTA'!$H10)</f>
        <v>0</v>
      </c>
      <c r="F41" s="120">
        <f>'NABIDKA DOPRAVCE'!$J14*'Vypocty indexu'!F22*('Cenova nabidka NAFTA'!$G10+'Cenova nabidka NAFTA'!$H10)</f>
        <v>0</v>
      </c>
      <c r="G41" s="120">
        <f>'NABIDKA DOPRAVCE'!$J14*'Vypocty indexu'!G22*('Cenova nabidka NAFTA'!$G10+'Cenova nabidka NAFTA'!$H10)</f>
        <v>0</v>
      </c>
      <c r="H41" s="120">
        <f>'NABIDKA DOPRAVCE'!$J14*'Vypocty indexu'!H22*('Cenova nabidka NAFTA'!$G10+'Cenova nabidka NAFTA'!$H10)</f>
        <v>0</v>
      </c>
      <c r="I41" s="120">
        <f>'NABIDKA DOPRAVCE'!$J14*'Vypocty indexu'!I22*('Cenova nabidka NAFTA'!$G10+'Cenova nabidka NAFTA'!$H10)</f>
        <v>0</v>
      </c>
      <c r="J41" s="120">
        <f>'NABIDKA DOPRAVCE'!$J14*'Vypocty indexu'!J22*('Cenova nabidka NAFTA'!$G10+'Cenova nabidka NAFTA'!$H10)</f>
        <v>0</v>
      </c>
      <c r="K41" s="120">
        <f>'NABIDKA DOPRAVCE'!$J14*'Vypocty indexu'!K22*('Cenova nabidka NAFTA'!$G10+'Cenova nabidka NAFTA'!$H10)</f>
        <v>0</v>
      </c>
      <c r="L41" s="120">
        <f>'NABIDKA DOPRAVCE'!$J14*'Vypocty indexu'!L22*('Cenova nabidka NAFTA'!$G10+'Cenova nabidka NAFTA'!$H10)</f>
        <v>0</v>
      </c>
      <c r="M41" s="120">
        <f>'NABIDKA DOPRAVCE'!$J14*'Vypocty indexu'!M22*('Cenova nabidka NAFTA'!$G10+'Cenova nabidka NAFTA'!$H10)</f>
        <v>0</v>
      </c>
      <c r="N41" s="120">
        <f>'NABIDKA DOPRAVCE'!$J14*'Vypocty indexu'!N22*('Cenova nabidka NAFTA'!$G10+'Cenova nabidka NAFTA'!$H10)</f>
        <v>0</v>
      </c>
    </row>
    <row r="42" spans="2:14" ht="12.75" outlineLevel="1">
      <c r="B42" s="56">
        <v>12</v>
      </c>
      <c r="C42" s="47" t="s">
        <v>8</v>
      </c>
      <c r="D42" s="193"/>
      <c r="E42" s="120">
        <f>'NABIDKA DOPRAVCE'!$J15*'Vypocty indexu'!E23*('Cenova nabidka NAFTA'!$G11+'Cenova nabidka NAFTA'!$H11)</f>
        <v>0</v>
      </c>
      <c r="F42" s="120">
        <f>'NABIDKA DOPRAVCE'!$J15*'Vypocty indexu'!F23*('Cenova nabidka NAFTA'!$G11+'Cenova nabidka NAFTA'!$H11)</f>
        <v>0</v>
      </c>
      <c r="G42" s="120">
        <f>'NABIDKA DOPRAVCE'!$J15*'Vypocty indexu'!G23*('Cenova nabidka NAFTA'!$G11+'Cenova nabidka NAFTA'!$H11)</f>
        <v>0</v>
      </c>
      <c r="H42" s="120">
        <f>'NABIDKA DOPRAVCE'!$J15*'Vypocty indexu'!H23*('Cenova nabidka NAFTA'!$G11+'Cenova nabidka NAFTA'!$H11)</f>
        <v>0</v>
      </c>
      <c r="I42" s="120">
        <f>'NABIDKA DOPRAVCE'!$J15*'Vypocty indexu'!I23*('Cenova nabidka NAFTA'!$G11+'Cenova nabidka NAFTA'!$H11)</f>
        <v>0</v>
      </c>
      <c r="J42" s="120">
        <f>'NABIDKA DOPRAVCE'!$J15*'Vypocty indexu'!J23*('Cenova nabidka NAFTA'!$G11+'Cenova nabidka NAFTA'!$H11)</f>
        <v>0</v>
      </c>
      <c r="K42" s="120">
        <f>'NABIDKA DOPRAVCE'!$J15*'Vypocty indexu'!K23*('Cenova nabidka NAFTA'!$G11+'Cenova nabidka NAFTA'!$H11)</f>
        <v>0</v>
      </c>
      <c r="L42" s="120">
        <f>'NABIDKA DOPRAVCE'!$J15*'Vypocty indexu'!L23*('Cenova nabidka NAFTA'!$G11+'Cenova nabidka NAFTA'!$H11)</f>
        <v>0</v>
      </c>
      <c r="M42" s="120">
        <f>'NABIDKA DOPRAVCE'!$J15*'Vypocty indexu'!M23*('Cenova nabidka NAFTA'!$G11+'Cenova nabidka NAFTA'!$H11)</f>
        <v>0</v>
      </c>
      <c r="N42" s="120">
        <f>'NABIDKA DOPRAVCE'!$J15*'Vypocty indexu'!N23*('Cenova nabidka NAFTA'!$G11+'Cenova nabidka NAFTA'!$H11)</f>
        <v>0</v>
      </c>
    </row>
    <row r="43" spans="2:14" ht="12.75" outlineLevel="1">
      <c r="B43" s="56">
        <v>13</v>
      </c>
      <c r="C43" s="47" t="s">
        <v>9</v>
      </c>
      <c r="D43" s="193"/>
      <c r="E43" s="120">
        <f>'NABIDKA DOPRAVCE'!$J16*'Vypocty indexu'!E24*('Cenova nabidka NAFTA'!$G12+'Cenova nabidka NAFTA'!$H12)</f>
        <v>0</v>
      </c>
      <c r="F43" s="120">
        <f>'NABIDKA DOPRAVCE'!$J16*'Vypocty indexu'!F24*('Cenova nabidka NAFTA'!$G12+'Cenova nabidka NAFTA'!$H12)</f>
        <v>0</v>
      </c>
      <c r="G43" s="120">
        <f>'NABIDKA DOPRAVCE'!$J16*'Vypocty indexu'!G24*('Cenova nabidka NAFTA'!$G12+'Cenova nabidka NAFTA'!$H12)</f>
        <v>0</v>
      </c>
      <c r="H43" s="120">
        <f>'NABIDKA DOPRAVCE'!$J16*'Vypocty indexu'!H24*('Cenova nabidka NAFTA'!$G12+'Cenova nabidka NAFTA'!$H12)</f>
        <v>0</v>
      </c>
      <c r="I43" s="120">
        <f>'NABIDKA DOPRAVCE'!$J16*'Vypocty indexu'!I24*('Cenova nabidka NAFTA'!$G12+'Cenova nabidka NAFTA'!$H12)</f>
        <v>0</v>
      </c>
      <c r="J43" s="120">
        <f>'NABIDKA DOPRAVCE'!$J16*'Vypocty indexu'!J24*('Cenova nabidka NAFTA'!$G12+'Cenova nabidka NAFTA'!$H12)</f>
        <v>0</v>
      </c>
      <c r="K43" s="120">
        <f>'NABIDKA DOPRAVCE'!$J16*'Vypocty indexu'!K24*('Cenova nabidka NAFTA'!$G12+'Cenova nabidka NAFTA'!$H12)</f>
        <v>0</v>
      </c>
      <c r="L43" s="120">
        <f>'NABIDKA DOPRAVCE'!$J16*'Vypocty indexu'!L24*('Cenova nabidka NAFTA'!$G12+'Cenova nabidka NAFTA'!$H12)</f>
        <v>0</v>
      </c>
      <c r="M43" s="120">
        <f>'NABIDKA DOPRAVCE'!$J16*'Vypocty indexu'!M24*('Cenova nabidka NAFTA'!$G12+'Cenova nabidka NAFTA'!$H12)</f>
        <v>0</v>
      </c>
      <c r="N43" s="120">
        <f>'NABIDKA DOPRAVCE'!$J16*'Vypocty indexu'!N24*('Cenova nabidka NAFTA'!$G12+'Cenova nabidka NAFTA'!$H12)</f>
        <v>0</v>
      </c>
    </row>
    <row r="44" spans="2:14" ht="12.75" outlineLevel="1">
      <c r="B44" s="56" t="s">
        <v>28</v>
      </c>
      <c r="C44" s="47" t="s">
        <v>59</v>
      </c>
      <c r="D44" s="193"/>
      <c r="E44" s="120">
        <f>'NABIDKA DOPRAVCE'!$J17*'Vypocty indexu'!E25*('Cenova nabidka NAFTA'!$G13+'Cenova nabidka NAFTA'!$H13)</f>
        <v>0</v>
      </c>
      <c r="F44" s="120">
        <f>'NABIDKA DOPRAVCE'!$J17*'Vypocty indexu'!F25*('Cenova nabidka NAFTA'!$G13+'Cenova nabidka NAFTA'!$H13)</f>
        <v>0</v>
      </c>
      <c r="G44" s="120">
        <f>'NABIDKA DOPRAVCE'!$J17*'Vypocty indexu'!G25*('Cenova nabidka NAFTA'!$G13+'Cenova nabidka NAFTA'!$H13)</f>
        <v>0</v>
      </c>
      <c r="H44" s="120">
        <f>'NABIDKA DOPRAVCE'!$J17*'Vypocty indexu'!H25*('Cenova nabidka NAFTA'!$G13+'Cenova nabidka NAFTA'!$H13)</f>
        <v>0</v>
      </c>
      <c r="I44" s="120">
        <f>'NABIDKA DOPRAVCE'!$J17*'Vypocty indexu'!I25*('Cenova nabidka NAFTA'!$G13+'Cenova nabidka NAFTA'!$H13)</f>
        <v>0</v>
      </c>
      <c r="J44" s="120">
        <f>'NABIDKA DOPRAVCE'!$J17*'Vypocty indexu'!J25*('Cenova nabidka NAFTA'!$G13+'Cenova nabidka NAFTA'!$H13)</f>
        <v>0</v>
      </c>
      <c r="K44" s="120">
        <f>'NABIDKA DOPRAVCE'!$J17*'Vypocty indexu'!K25*('Cenova nabidka NAFTA'!$G13+'Cenova nabidka NAFTA'!$H13)</f>
        <v>0</v>
      </c>
      <c r="L44" s="120">
        <f>'NABIDKA DOPRAVCE'!$J17*'Vypocty indexu'!L25*('Cenova nabidka NAFTA'!$G13+'Cenova nabidka NAFTA'!$H13)</f>
        <v>0</v>
      </c>
      <c r="M44" s="120">
        <f>'NABIDKA DOPRAVCE'!$J17*'Vypocty indexu'!M25*('Cenova nabidka NAFTA'!$G13+'Cenova nabidka NAFTA'!$H13)</f>
        <v>0</v>
      </c>
      <c r="N44" s="120">
        <f>'NABIDKA DOPRAVCE'!$J17*'Vypocty indexu'!N25*('Cenova nabidka NAFTA'!$G13+'Cenova nabidka NAFTA'!$H13)</f>
        <v>0</v>
      </c>
    </row>
    <row r="45" spans="2:14" ht="12.75" outlineLevel="1">
      <c r="B45" s="56" t="s">
        <v>29</v>
      </c>
      <c r="C45" s="47" t="s">
        <v>60</v>
      </c>
      <c r="D45" s="193"/>
      <c r="E45" s="120">
        <f>'NABIDKA DOPRAVCE'!$J18*'Vypocty indexu'!E26*('Cenova nabidka NAFTA'!$G14+'Cenova nabidka NAFTA'!$H14)</f>
        <v>0</v>
      </c>
      <c r="F45" s="120">
        <f>'NABIDKA DOPRAVCE'!$J18*'Vypocty indexu'!F26*('Cenova nabidka NAFTA'!$G14+'Cenova nabidka NAFTA'!$H14)</f>
        <v>0</v>
      </c>
      <c r="G45" s="120">
        <f>'NABIDKA DOPRAVCE'!$J18*'Vypocty indexu'!G26*('Cenova nabidka NAFTA'!$G14+'Cenova nabidka NAFTA'!$H14)</f>
        <v>0</v>
      </c>
      <c r="H45" s="120">
        <f>'NABIDKA DOPRAVCE'!$J18*'Vypocty indexu'!H26*('Cenova nabidka NAFTA'!$G14+'Cenova nabidka NAFTA'!$H14)</f>
        <v>0</v>
      </c>
      <c r="I45" s="120">
        <f>'NABIDKA DOPRAVCE'!$J18*'Vypocty indexu'!I26*('Cenova nabidka NAFTA'!$G14+'Cenova nabidka NAFTA'!$H14)</f>
        <v>0</v>
      </c>
      <c r="J45" s="120">
        <f>'NABIDKA DOPRAVCE'!$J18*'Vypocty indexu'!J26*('Cenova nabidka NAFTA'!$G14+'Cenova nabidka NAFTA'!$H14)</f>
        <v>0</v>
      </c>
      <c r="K45" s="120">
        <f>'NABIDKA DOPRAVCE'!$J18*'Vypocty indexu'!K26*('Cenova nabidka NAFTA'!$G14+'Cenova nabidka NAFTA'!$H14)</f>
        <v>0</v>
      </c>
      <c r="L45" s="120">
        <f>'NABIDKA DOPRAVCE'!$J18*'Vypocty indexu'!L26*('Cenova nabidka NAFTA'!$G14+'Cenova nabidka NAFTA'!$H14)</f>
        <v>0</v>
      </c>
      <c r="M45" s="120">
        <f>'NABIDKA DOPRAVCE'!$J18*'Vypocty indexu'!M26*('Cenova nabidka NAFTA'!$G14+'Cenova nabidka NAFTA'!$H14)</f>
        <v>0</v>
      </c>
      <c r="N45" s="120">
        <f>'NABIDKA DOPRAVCE'!$J18*'Vypocty indexu'!N26*('Cenova nabidka NAFTA'!$G14+'Cenova nabidka NAFTA'!$H14)</f>
        <v>0</v>
      </c>
    </row>
    <row r="46" spans="2:14" ht="12.75" outlineLevel="1">
      <c r="B46" s="56">
        <v>15</v>
      </c>
      <c r="C46" s="47" t="s">
        <v>42</v>
      </c>
      <c r="D46" s="193"/>
      <c r="E46" s="120">
        <f>'NABIDKA DOPRAVCE'!$J19*'Vypocty indexu'!E27*('Cenova nabidka NAFTA'!$G15+'Cenova nabidka NAFTA'!$H15)</f>
        <v>0</v>
      </c>
      <c r="F46" s="120">
        <f>'NABIDKA DOPRAVCE'!$J19*'Vypocty indexu'!F27*('Cenova nabidka NAFTA'!$G15+'Cenova nabidka NAFTA'!$H15)</f>
        <v>0</v>
      </c>
      <c r="G46" s="120">
        <f>'NABIDKA DOPRAVCE'!$J19*'Vypocty indexu'!G27*('Cenova nabidka NAFTA'!$G15+'Cenova nabidka NAFTA'!$H15)</f>
        <v>0</v>
      </c>
      <c r="H46" s="120">
        <f>'NABIDKA DOPRAVCE'!$J19*'Vypocty indexu'!H27*('Cenova nabidka NAFTA'!$G15+'Cenova nabidka NAFTA'!$H15)</f>
        <v>0</v>
      </c>
      <c r="I46" s="120">
        <f>'NABIDKA DOPRAVCE'!$J19*'Vypocty indexu'!I27*('Cenova nabidka NAFTA'!$G15+'Cenova nabidka NAFTA'!$H15)</f>
        <v>0</v>
      </c>
      <c r="J46" s="120">
        <f>'NABIDKA DOPRAVCE'!$J19*'Vypocty indexu'!J27*('Cenova nabidka NAFTA'!$G15+'Cenova nabidka NAFTA'!$H15)</f>
        <v>0</v>
      </c>
      <c r="K46" s="120">
        <f>'NABIDKA DOPRAVCE'!$J19*'Vypocty indexu'!K27*('Cenova nabidka NAFTA'!$G15+'Cenova nabidka NAFTA'!$H15)</f>
        <v>0</v>
      </c>
      <c r="L46" s="120">
        <f>'NABIDKA DOPRAVCE'!$J19*'Vypocty indexu'!L27*('Cenova nabidka NAFTA'!$G15+'Cenova nabidka NAFTA'!$H15)</f>
        <v>0</v>
      </c>
      <c r="M46" s="120">
        <f>'NABIDKA DOPRAVCE'!$J19*'Vypocty indexu'!M27*('Cenova nabidka NAFTA'!$G15+'Cenova nabidka NAFTA'!$H15)</f>
        <v>0</v>
      </c>
      <c r="N46" s="120">
        <f>'NABIDKA DOPRAVCE'!$J19*'Vypocty indexu'!N27*('Cenova nabidka NAFTA'!$G15+'Cenova nabidka NAFTA'!$H15)</f>
        <v>0</v>
      </c>
    </row>
    <row r="47" spans="2:14" ht="12.75" outlineLevel="1">
      <c r="B47" s="56" t="s">
        <v>30</v>
      </c>
      <c r="C47" s="47" t="s">
        <v>61</v>
      </c>
      <c r="D47" s="193"/>
      <c r="E47" s="120">
        <f>'NABIDKA DOPRAVCE'!$J20*'Vypocty indexu'!E28*('Cenova nabidka NAFTA'!$G16+'Cenova nabidka NAFTA'!$H16)</f>
        <v>0</v>
      </c>
      <c r="F47" s="120">
        <f>'NABIDKA DOPRAVCE'!$J20*'Vypocty indexu'!F28*('Cenova nabidka NAFTA'!$G16+'Cenova nabidka NAFTA'!$H16)</f>
        <v>0</v>
      </c>
      <c r="G47" s="120">
        <f>'NABIDKA DOPRAVCE'!$J20*'Vypocty indexu'!G28*('Cenova nabidka NAFTA'!$G16+'Cenova nabidka NAFTA'!$H16)</f>
        <v>0</v>
      </c>
      <c r="H47" s="120">
        <f>'NABIDKA DOPRAVCE'!$J20*'Vypocty indexu'!H28*('Cenova nabidka NAFTA'!$G16+'Cenova nabidka NAFTA'!$H16)</f>
        <v>0</v>
      </c>
      <c r="I47" s="120">
        <f>'NABIDKA DOPRAVCE'!$J20*'Vypocty indexu'!I28*('Cenova nabidka NAFTA'!$G16+'Cenova nabidka NAFTA'!$H16)</f>
        <v>0</v>
      </c>
      <c r="J47" s="120">
        <f>'NABIDKA DOPRAVCE'!$J20*'Vypocty indexu'!J28*('Cenova nabidka NAFTA'!$G16+'Cenova nabidka NAFTA'!$H16)</f>
        <v>0</v>
      </c>
      <c r="K47" s="120">
        <f>'NABIDKA DOPRAVCE'!$J20*'Vypocty indexu'!K28*('Cenova nabidka NAFTA'!$G16+'Cenova nabidka NAFTA'!$H16)</f>
        <v>0</v>
      </c>
      <c r="L47" s="120">
        <f>'NABIDKA DOPRAVCE'!$J20*'Vypocty indexu'!L28*('Cenova nabidka NAFTA'!$G16+'Cenova nabidka NAFTA'!$H16)</f>
        <v>0</v>
      </c>
      <c r="M47" s="120">
        <f>'NABIDKA DOPRAVCE'!$J20*'Vypocty indexu'!M28*('Cenova nabidka NAFTA'!$G16+'Cenova nabidka NAFTA'!$H16)</f>
        <v>0</v>
      </c>
      <c r="N47" s="120">
        <f>'NABIDKA DOPRAVCE'!$J20*'Vypocty indexu'!N28*('Cenova nabidka NAFTA'!$G16+'Cenova nabidka NAFTA'!$H16)</f>
        <v>0</v>
      </c>
    </row>
    <row r="48" spans="2:14" ht="12.75" outlineLevel="1">
      <c r="B48" s="56" t="s">
        <v>31</v>
      </c>
      <c r="C48" s="47" t="s">
        <v>62</v>
      </c>
      <c r="D48" s="193"/>
      <c r="E48" s="120">
        <f>'NABIDKA DOPRAVCE'!$J21*'Vypocty indexu'!E29*('Cenova nabidka NAFTA'!$G17+'Cenova nabidka NAFTA'!$H17)</f>
        <v>0</v>
      </c>
      <c r="F48" s="120">
        <f>'NABIDKA DOPRAVCE'!$J21*'Vypocty indexu'!F29*('Cenova nabidka NAFTA'!$G17+'Cenova nabidka NAFTA'!$H17)</f>
        <v>0</v>
      </c>
      <c r="G48" s="120">
        <f>'NABIDKA DOPRAVCE'!$J21*'Vypocty indexu'!G29*('Cenova nabidka NAFTA'!$G17+'Cenova nabidka NAFTA'!$H17)</f>
        <v>0</v>
      </c>
      <c r="H48" s="120">
        <f>'NABIDKA DOPRAVCE'!$J21*'Vypocty indexu'!H29*('Cenova nabidka NAFTA'!$G17+'Cenova nabidka NAFTA'!$H17)</f>
        <v>0</v>
      </c>
      <c r="I48" s="120">
        <f>'NABIDKA DOPRAVCE'!$J21*'Vypocty indexu'!I29*('Cenova nabidka NAFTA'!$G17+'Cenova nabidka NAFTA'!$H17)</f>
        <v>0</v>
      </c>
      <c r="J48" s="120">
        <f>'NABIDKA DOPRAVCE'!$J21*'Vypocty indexu'!J29*('Cenova nabidka NAFTA'!$G17+'Cenova nabidka NAFTA'!$H17)</f>
        <v>0</v>
      </c>
      <c r="K48" s="120">
        <f>'NABIDKA DOPRAVCE'!$J21*'Vypocty indexu'!K29*('Cenova nabidka NAFTA'!$G17+'Cenova nabidka NAFTA'!$H17)</f>
        <v>0</v>
      </c>
      <c r="L48" s="120">
        <f>'NABIDKA DOPRAVCE'!$J21*'Vypocty indexu'!L29*('Cenova nabidka NAFTA'!$G17+'Cenova nabidka NAFTA'!$H17)</f>
        <v>0</v>
      </c>
      <c r="M48" s="120">
        <f>'NABIDKA DOPRAVCE'!$J21*'Vypocty indexu'!M29*('Cenova nabidka NAFTA'!$G17+'Cenova nabidka NAFTA'!$H17)</f>
        <v>0</v>
      </c>
      <c r="N48" s="120">
        <f>'NABIDKA DOPRAVCE'!$J21*'Vypocty indexu'!N29*('Cenova nabidka NAFTA'!$G17+'Cenova nabidka NAFTA'!$H17)</f>
        <v>0</v>
      </c>
    </row>
    <row r="49" spans="2:14" ht="12.75" outlineLevel="1">
      <c r="B49" s="56" t="s">
        <v>40</v>
      </c>
      <c r="C49" s="47" t="s">
        <v>63</v>
      </c>
      <c r="D49" s="193"/>
      <c r="E49" s="120">
        <f>'NABIDKA DOPRAVCE'!$J22*'Vypocty indexu'!E30*('Cenova nabidka NAFTA'!$G18+'Cenova nabidka NAFTA'!$H18)</f>
        <v>0</v>
      </c>
      <c r="F49" s="120">
        <f>'NABIDKA DOPRAVCE'!$J22*'Vypocty indexu'!F30*('Cenova nabidka NAFTA'!$G18+'Cenova nabidka NAFTA'!$H18)</f>
        <v>0</v>
      </c>
      <c r="G49" s="120">
        <f>'NABIDKA DOPRAVCE'!$J22*'Vypocty indexu'!G30*('Cenova nabidka NAFTA'!$G18+'Cenova nabidka NAFTA'!$H18)</f>
        <v>0</v>
      </c>
      <c r="H49" s="120">
        <f>'NABIDKA DOPRAVCE'!$J22*'Vypocty indexu'!H30*('Cenova nabidka NAFTA'!$G18+'Cenova nabidka NAFTA'!$H18)</f>
        <v>0</v>
      </c>
      <c r="I49" s="120">
        <f>'NABIDKA DOPRAVCE'!$J22*'Vypocty indexu'!I30*('Cenova nabidka NAFTA'!$G18+'Cenova nabidka NAFTA'!$H18)</f>
        <v>0</v>
      </c>
      <c r="J49" s="120">
        <f>'NABIDKA DOPRAVCE'!$J22*'Vypocty indexu'!J30*('Cenova nabidka NAFTA'!$G18+'Cenova nabidka NAFTA'!$H18)</f>
        <v>0</v>
      </c>
      <c r="K49" s="120">
        <f>'NABIDKA DOPRAVCE'!$J22*'Vypocty indexu'!K30*('Cenova nabidka NAFTA'!$G18+'Cenova nabidka NAFTA'!$H18)</f>
        <v>0</v>
      </c>
      <c r="L49" s="120">
        <f>'NABIDKA DOPRAVCE'!$J22*'Vypocty indexu'!L30*('Cenova nabidka NAFTA'!$G18+'Cenova nabidka NAFTA'!$H18)</f>
        <v>0</v>
      </c>
      <c r="M49" s="120">
        <f>'NABIDKA DOPRAVCE'!$J22*'Vypocty indexu'!M30*('Cenova nabidka NAFTA'!$G18+'Cenova nabidka NAFTA'!$H18)</f>
        <v>0</v>
      </c>
      <c r="N49" s="120">
        <f>'NABIDKA DOPRAVCE'!$J22*'Vypocty indexu'!N30*('Cenova nabidka NAFTA'!$G18+'Cenova nabidka NAFTA'!$H18)</f>
        <v>0</v>
      </c>
    </row>
    <row r="50" spans="2:14" ht="12.75" outlineLevel="1">
      <c r="B50" s="56" t="s">
        <v>41</v>
      </c>
      <c r="C50" s="47" t="s">
        <v>64</v>
      </c>
      <c r="D50" s="193"/>
      <c r="E50" s="120">
        <f>'NABIDKA DOPRAVCE'!$J23*'Vypocty indexu'!E31*('Cenova nabidka NAFTA'!$G19+'Cenova nabidka NAFTA'!$H19)</f>
        <v>0</v>
      </c>
      <c r="F50" s="120">
        <f>'NABIDKA DOPRAVCE'!$J23*'Vypocty indexu'!F31*('Cenova nabidka NAFTA'!$G19+'Cenova nabidka NAFTA'!$H19)</f>
        <v>0</v>
      </c>
      <c r="G50" s="120">
        <f>'NABIDKA DOPRAVCE'!$J23*'Vypocty indexu'!G31*('Cenova nabidka NAFTA'!$G19+'Cenova nabidka NAFTA'!$H19)</f>
        <v>0</v>
      </c>
      <c r="H50" s="120">
        <f>'NABIDKA DOPRAVCE'!$J23*'Vypocty indexu'!H31*('Cenova nabidka NAFTA'!$G19+'Cenova nabidka NAFTA'!$H19)</f>
        <v>0</v>
      </c>
      <c r="I50" s="120">
        <f>'NABIDKA DOPRAVCE'!$J23*'Vypocty indexu'!I31*('Cenova nabidka NAFTA'!$G19+'Cenova nabidka NAFTA'!$H19)</f>
        <v>0</v>
      </c>
      <c r="J50" s="120">
        <f>'NABIDKA DOPRAVCE'!$J23*'Vypocty indexu'!J31*('Cenova nabidka NAFTA'!$G19+'Cenova nabidka NAFTA'!$H19)</f>
        <v>0</v>
      </c>
      <c r="K50" s="120">
        <f>'NABIDKA DOPRAVCE'!$J23*'Vypocty indexu'!K31*('Cenova nabidka NAFTA'!$G19+'Cenova nabidka NAFTA'!$H19)</f>
        <v>0</v>
      </c>
      <c r="L50" s="120">
        <f>'NABIDKA DOPRAVCE'!$J23*'Vypocty indexu'!L31*('Cenova nabidka NAFTA'!$G19+'Cenova nabidka NAFTA'!$H19)</f>
        <v>0</v>
      </c>
      <c r="M50" s="120">
        <f>'NABIDKA DOPRAVCE'!$J23*'Vypocty indexu'!M31*('Cenova nabidka NAFTA'!$G19+'Cenova nabidka NAFTA'!$H19)</f>
        <v>0</v>
      </c>
      <c r="N50" s="120">
        <f>'NABIDKA DOPRAVCE'!$J23*'Vypocty indexu'!N31*('Cenova nabidka NAFTA'!$G19+'Cenova nabidka NAFTA'!$H19)</f>
        <v>0</v>
      </c>
    </row>
    <row r="51" spans="2:14" ht="12.75" outlineLevel="1">
      <c r="B51" s="56">
        <v>18</v>
      </c>
      <c r="C51" s="47" t="s">
        <v>13</v>
      </c>
      <c r="D51" s="193"/>
      <c r="E51" s="120">
        <f>'NABIDKA DOPRAVCE'!$J24*'Vypocty indexu'!E32*('Cenova nabidka NAFTA'!$G20+'Cenova nabidka NAFTA'!$H20)</f>
        <v>0</v>
      </c>
      <c r="F51" s="120">
        <f>'NABIDKA DOPRAVCE'!$J24*'Vypocty indexu'!F32*('Cenova nabidka NAFTA'!$G20+'Cenova nabidka NAFTA'!$H20)</f>
        <v>0</v>
      </c>
      <c r="G51" s="120">
        <f>'NABIDKA DOPRAVCE'!$J24*'Vypocty indexu'!G32*('Cenova nabidka NAFTA'!$G20+'Cenova nabidka NAFTA'!$H20)</f>
        <v>0</v>
      </c>
      <c r="H51" s="120">
        <f>'NABIDKA DOPRAVCE'!$J24*'Vypocty indexu'!H32*('Cenova nabidka NAFTA'!$G20+'Cenova nabidka NAFTA'!$H20)</f>
        <v>0</v>
      </c>
      <c r="I51" s="120">
        <f>'NABIDKA DOPRAVCE'!$J24*'Vypocty indexu'!I32*('Cenova nabidka NAFTA'!$G20+'Cenova nabidka NAFTA'!$H20)</f>
        <v>0</v>
      </c>
      <c r="J51" s="120">
        <f>'NABIDKA DOPRAVCE'!$J24*'Vypocty indexu'!J32*('Cenova nabidka NAFTA'!$G20+'Cenova nabidka NAFTA'!$H20)</f>
        <v>0</v>
      </c>
      <c r="K51" s="120">
        <f>'NABIDKA DOPRAVCE'!$J24*'Vypocty indexu'!K32*('Cenova nabidka NAFTA'!$G20+'Cenova nabidka NAFTA'!$H20)</f>
        <v>0</v>
      </c>
      <c r="L51" s="120">
        <f>'NABIDKA DOPRAVCE'!$J24*'Vypocty indexu'!L32*('Cenova nabidka NAFTA'!$G20+'Cenova nabidka NAFTA'!$H20)</f>
        <v>0</v>
      </c>
      <c r="M51" s="120">
        <f>'NABIDKA DOPRAVCE'!$J24*'Vypocty indexu'!M32*('Cenova nabidka NAFTA'!$G20+'Cenova nabidka NAFTA'!$H20)</f>
        <v>0</v>
      </c>
      <c r="N51" s="120">
        <f>'NABIDKA DOPRAVCE'!$J24*'Vypocty indexu'!N32*('Cenova nabidka NAFTA'!$G20+'Cenova nabidka NAFTA'!$H20)</f>
        <v>0</v>
      </c>
    </row>
    <row r="52" spans="2:14" ht="12.75" outlineLevel="1">
      <c r="B52" s="56">
        <v>19</v>
      </c>
      <c r="C52" s="47" t="s">
        <v>14</v>
      </c>
      <c r="D52" s="193"/>
      <c r="E52" s="120">
        <f>'NABIDKA DOPRAVCE'!$J25*'Vypocty indexu'!E33*('Cenova nabidka NAFTA'!$G21+'Cenova nabidka NAFTA'!$H21)</f>
        <v>0</v>
      </c>
      <c r="F52" s="120">
        <f>'NABIDKA DOPRAVCE'!$J25*'Vypocty indexu'!F33*('Cenova nabidka NAFTA'!$G21+'Cenova nabidka NAFTA'!$H21)</f>
        <v>0</v>
      </c>
      <c r="G52" s="120">
        <f>'NABIDKA DOPRAVCE'!$J25*'Vypocty indexu'!G33*('Cenova nabidka NAFTA'!$G21+'Cenova nabidka NAFTA'!$H21)</f>
        <v>0</v>
      </c>
      <c r="H52" s="120">
        <f>'NABIDKA DOPRAVCE'!$J25*'Vypocty indexu'!H33*('Cenova nabidka NAFTA'!$G21+'Cenova nabidka NAFTA'!$H21)</f>
        <v>0</v>
      </c>
      <c r="I52" s="120">
        <f>'NABIDKA DOPRAVCE'!$J25*'Vypocty indexu'!I33*('Cenova nabidka NAFTA'!$G21+'Cenova nabidka NAFTA'!$H21)</f>
        <v>0</v>
      </c>
      <c r="J52" s="120">
        <f>'NABIDKA DOPRAVCE'!$J25*'Vypocty indexu'!J33*('Cenova nabidka NAFTA'!$G21+'Cenova nabidka NAFTA'!$H21)</f>
        <v>0</v>
      </c>
      <c r="K52" s="120">
        <f>'NABIDKA DOPRAVCE'!$J25*'Vypocty indexu'!K33*('Cenova nabidka NAFTA'!$G21+'Cenova nabidka NAFTA'!$H21)</f>
        <v>0</v>
      </c>
      <c r="L52" s="120">
        <f>'NABIDKA DOPRAVCE'!$J25*'Vypocty indexu'!L33*('Cenova nabidka NAFTA'!$G21+'Cenova nabidka NAFTA'!$H21)</f>
        <v>0</v>
      </c>
      <c r="M52" s="120">
        <f>'NABIDKA DOPRAVCE'!$J25*'Vypocty indexu'!M33*('Cenova nabidka NAFTA'!$G21+'Cenova nabidka NAFTA'!$H21)</f>
        <v>0</v>
      </c>
      <c r="N52" s="120">
        <f>'NABIDKA DOPRAVCE'!$J25*'Vypocty indexu'!N33*('Cenova nabidka NAFTA'!$G21+'Cenova nabidka NAFTA'!$H21)</f>
        <v>0</v>
      </c>
    </row>
    <row r="53" spans="2:14" ht="12.75" outlineLevel="1">
      <c r="B53" s="56">
        <v>20</v>
      </c>
      <c r="C53" s="47" t="s">
        <v>15</v>
      </c>
      <c r="D53" s="193"/>
      <c r="E53" s="120">
        <f>'NABIDKA DOPRAVCE'!$J26*'Vypocty indexu'!E34*('Cenova nabidka NAFTA'!$G22+'Cenova nabidka NAFTA'!$H22)</f>
        <v>0</v>
      </c>
      <c r="F53" s="120">
        <f>'NABIDKA DOPRAVCE'!$J26*'Vypocty indexu'!F34*('Cenova nabidka NAFTA'!$G22+'Cenova nabidka NAFTA'!$H22)</f>
        <v>0</v>
      </c>
      <c r="G53" s="120">
        <f>'NABIDKA DOPRAVCE'!$J26*'Vypocty indexu'!G34*('Cenova nabidka NAFTA'!$G22+'Cenova nabidka NAFTA'!$H22)</f>
        <v>0</v>
      </c>
      <c r="H53" s="120">
        <f>'NABIDKA DOPRAVCE'!$J26*'Vypocty indexu'!H34*('Cenova nabidka NAFTA'!$G22+'Cenova nabidka NAFTA'!$H22)</f>
        <v>0</v>
      </c>
      <c r="I53" s="120">
        <f>'NABIDKA DOPRAVCE'!$J26*'Vypocty indexu'!I34*('Cenova nabidka NAFTA'!$G22+'Cenova nabidka NAFTA'!$H22)</f>
        <v>0</v>
      </c>
      <c r="J53" s="120">
        <f>'NABIDKA DOPRAVCE'!$J26*'Vypocty indexu'!J34*('Cenova nabidka NAFTA'!$G22+'Cenova nabidka NAFTA'!$H22)</f>
        <v>0</v>
      </c>
      <c r="K53" s="120">
        <f>'NABIDKA DOPRAVCE'!$J26*'Vypocty indexu'!K34*('Cenova nabidka NAFTA'!$G22+'Cenova nabidka NAFTA'!$H22)</f>
        <v>0</v>
      </c>
      <c r="L53" s="120">
        <f>'NABIDKA DOPRAVCE'!$J26*'Vypocty indexu'!L34*('Cenova nabidka NAFTA'!$G22+'Cenova nabidka NAFTA'!$H22)</f>
        <v>0</v>
      </c>
      <c r="M53" s="120">
        <f>'NABIDKA DOPRAVCE'!$J26*'Vypocty indexu'!M34*('Cenova nabidka NAFTA'!$G22+'Cenova nabidka NAFTA'!$H22)</f>
        <v>0</v>
      </c>
      <c r="N53" s="120">
        <f>'NABIDKA DOPRAVCE'!$J26*'Vypocty indexu'!N34*('Cenova nabidka NAFTA'!$G22+'Cenova nabidka NAFTA'!$H22)</f>
        <v>0</v>
      </c>
    </row>
    <row r="54" spans="2:14" ht="12.75" outlineLevel="1">
      <c r="B54" s="56">
        <v>21</v>
      </c>
      <c r="C54" s="47" t="s">
        <v>16</v>
      </c>
      <c r="D54" s="193"/>
      <c r="E54" s="120">
        <f>'NABIDKA DOPRAVCE'!$J27*'Vypocty indexu'!E35*('Cenova nabidka NAFTA'!$G23+'Cenova nabidka NAFTA'!$H23)</f>
        <v>0</v>
      </c>
      <c r="F54" s="120">
        <f>'NABIDKA DOPRAVCE'!$J27*'Vypocty indexu'!F35*('Cenova nabidka NAFTA'!$G23+'Cenova nabidka NAFTA'!$H23)</f>
        <v>0</v>
      </c>
      <c r="G54" s="120">
        <f>'NABIDKA DOPRAVCE'!$J27*'Vypocty indexu'!G35*('Cenova nabidka NAFTA'!$G23+'Cenova nabidka NAFTA'!$H23)</f>
        <v>0</v>
      </c>
      <c r="H54" s="120">
        <f>'NABIDKA DOPRAVCE'!$J27*'Vypocty indexu'!H35*('Cenova nabidka NAFTA'!$G23+'Cenova nabidka NAFTA'!$H23)</f>
        <v>0</v>
      </c>
      <c r="I54" s="120">
        <f>'NABIDKA DOPRAVCE'!$J27*'Vypocty indexu'!I35*('Cenova nabidka NAFTA'!$G23+'Cenova nabidka NAFTA'!$H23)</f>
        <v>0</v>
      </c>
      <c r="J54" s="120">
        <f>'NABIDKA DOPRAVCE'!$J27*'Vypocty indexu'!J35*('Cenova nabidka NAFTA'!$G23+'Cenova nabidka NAFTA'!$H23)</f>
        <v>0</v>
      </c>
      <c r="K54" s="120">
        <f>'NABIDKA DOPRAVCE'!$J27*'Vypocty indexu'!K35*('Cenova nabidka NAFTA'!$G23+'Cenova nabidka NAFTA'!$H23)</f>
        <v>0</v>
      </c>
      <c r="L54" s="120">
        <f>'NABIDKA DOPRAVCE'!$J27*'Vypocty indexu'!L35*('Cenova nabidka NAFTA'!$G23+'Cenova nabidka NAFTA'!$H23)</f>
        <v>0</v>
      </c>
      <c r="M54" s="120">
        <f>'NABIDKA DOPRAVCE'!$J27*'Vypocty indexu'!M35*('Cenova nabidka NAFTA'!$G23+'Cenova nabidka NAFTA'!$H23)</f>
        <v>0</v>
      </c>
      <c r="N54" s="120">
        <f>'NABIDKA DOPRAVCE'!$J27*'Vypocty indexu'!N35*('Cenova nabidka NAFTA'!$G23+'Cenova nabidka NAFTA'!$H23)</f>
        <v>0</v>
      </c>
    </row>
    <row r="55" spans="2:14" ht="12.75" outlineLevel="1">
      <c r="B55" s="56">
        <v>22</v>
      </c>
      <c r="C55" s="47" t="s">
        <v>17</v>
      </c>
      <c r="D55" s="193"/>
      <c r="E55" s="120">
        <f>'NABIDKA DOPRAVCE'!$J28*'Vypocty indexu'!E36*('Cenova nabidka NAFTA'!$G24+'Cenova nabidka NAFTA'!$H24)</f>
        <v>0</v>
      </c>
      <c r="F55" s="120">
        <f>'NABIDKA DOPRAVCE'!$J28*'Vypocty indexu'!F36*('Cenova nabidka NAFTA'!$G24+'Cenova nabidka NAFTA'!$H24)</f>
        <v>0</v>
      </c>
      <c r="G55" s="120">
        <f>'NABIDKA DOPRAVCE'!$J28*'Vypocty indexu'!G36*('Cenova nabidka NAFTA'!$G24+'Cenova nabidka NAFTA'!$H24)</f>
        <v>0</v>
      </c>
      <c r="H55" s="120">
        <f>'NABIDKA DOPRAVCE'!$J28*'Vypocty indexu'!H36*('Cenova nabidka NAFTA'!$G24+'Cenova nabidka NAFTA'!$H24)</f>
        <v>0</v>
      </c>
      <c r="I55" s="120">
        <f>'NABIDKA DOPRAVCE'!$J28*'Vypocty indexu'!I36*('Cenova nabidka NAFTA'!$G24+'Cenova nabidka NAFTA'!$H24)</f>
        <v>0</v>
      </c>
      <c r="J55" s="120">
        <f>'NABIDKA DOPRAVCE'!$J28*'Vypocty indexu'!J36*('Cenova nabidka NAFTA'!$G24+'Cenova nabidka NAFTA'!$H24)</f>
        <v>0</v>
      </c>
      <c r="K55" s="120">
        <f>'NABIDKA DOPRAVCE'!$J28*'Vypocty indexu'!K36*('Cenova nabidka NAFTA'!$G24+'Cenova nabidka NAFTA'!$H24)</f>
        <v>0</v>
      </c>
      <c r="L55" s="120">
        <f>'NABIDKA DOPRAVCE'!$J28*'Vypocty indexu'!L36*('Cenova nabidka NAFTA'!$G24+'Cenova nabidka NAFTA'!$H24)</f>
        <v>0</v>
      </c>
      <c r="M55" s="120">
        <f>'NABIDKA DOPRAVCE'!$J28*'Vypocty indexu'!M36*('Cenova nabidka NAFTA'!$G24+'Cenova nabidka NAFTA'!$H24)</f>
        <v>0</v>
      </c>
      <c r="N55" s="120">
        <f>'NABIDKA DOPRAVCE'!$J28*'Vypocty indexu'!N36*('Cenova nabidka NAFTA'!$G24+'Cenova nabidka NAFTA'!$H24)</f>
        <v>0</v>
      </c>
    </row>
    <row r="56" spans="2:14" ht="12.75" outlineLevel="1">
      <c r="B56" s="56">
        <v>23</v>
      </c>
      <c r="C56" s="47" t="s">
        <v>18</v>
      </c>
      <c r="D56" s="193"/>
      <c r="E56" s="120">
        <f>'NABIDKA DOPRAVCE'!$J29*'Vypocty indexu'!E37*('Cenova nabidka NAFTA'!$G25+'Cenova nabidka NAFTA'!$H25)</f>
        <v>0</v>
      </c>
      <c r="F56" s="120">
        <f>'NABIDKA DOPRAVCE'!$J29*'Vypocty indexu'!F37*('Cenova nabidka NAFTA'!$G25+'Cenova nabidka NAFTA'!$H25)</f>
        <v>0</v>
      </c>
      <c r="G56" s="120">
        <f>'NABIDKA DOPRAVCE'!$J29*'Vypocty indexu'!G37*('Cenova nabidka NAFTA'!$G25+'Cenova nabidka NAFTA'!$H25)</f>
        <v>0</v>
      </c>
      <c r="H56" s="120">
        <f>'NABIDKA DOPRAVCE'!$J29*'Vypocty indexu'!H37*('Cenova nabidka NAFTA'!$G25+'Cenova nabidka NAFTA'!$H25)</f>
        <v>0</v>
      </c>
      <c r="I56" s="120">
        <f>'NABIDKA DOPRAVCE'!$J29*'Vypocty indexu'!I37*('Cenova nabidka NAFTA'!$G25+'Cenova nabidka NAFTA'!$H25)</f>
        <v>0</v>
      </c>
      <c r="J56" s="120">
        <f>'NABIDKA DOPRAVCE'!$J29*'Vypocty indexu'!J37*('Cenova nabidka NAFTA'!$G25+'Cenova nabidka NAFTA'!$H25)</f>
        <v>0</v>
      </c>
      <c r="K56" s="120">
        <f>'NABIDKA DOPRAVCE'!$J29*'Vypocty indexu'!K37*('Cenova nabidka NAFTA'!$G25+'Cenova nabidka NAFTA'!$H25)</f>
        <v>0</v>
      </c>
      <c r="L56" s="120">
        <f>'NABIDKA DOPRAVCE'!$J29*'Vypocty indexu'!L37*('Cenova nabidka NAFTA'!$G25+'Cenova nabidka NAFTA'!$H25)</f>
        <v>0</v>
      </c>
      <c r="M56" s="120">
        <f>'NABIDKA DOPRAVCE'!$J29*'Vypocty indexu'!M37*('Cenova nabidka NAFTA'!$G25+'Cenova nabidka NAFTA'!$H25)</f>
        <v>0</v>
      </c>
      <c r="N56" s="120">
        <f>'NABIDKA DOPRAVCE'!$J29*'Vypocty indexu'!N37*('Cenova nabidka NAFTA'!$G25+'Cenova nabidka NAFTA'!$H25)</f>
        <v>0</v>
      </c>
    </row>
    <row r="57" spans="2:14" ht="12.75" outlineLevel="1">
      <c r="B57" s="56">
        <v>24</v>
      </c>
      <c r="C57" s="47" t="s">
        <v>19</v>
      </c>
      <c r="D57" s="193"/>
      <c r="E57" s="120">
        <f>'NABIDKA DOPRAVCE'!$J30*'Vypocty indexu'!E38*('Cenova nabidka NAFTA'!$G26+'Cenova nabidka NAFTA'!$H26)</f>
        <v>0</v>
      </c>
      <c r="F57" s="120">
        <f>'NABIDKA DOPRAVCE'!$J30*'Vypocty indexu'!F38*('Cenova nabidka NAFTA'!$G26+'Cenova nabidka NAFTA'!$H26)</f>
        <v>0</v>
      </c>
      <c r="G57" s="120">
        <f>'NABIDKA DOPRAVCE'!$J30*'Vypocty indexu'!G38*('Cenova nabidka NAFTA'!$G26+'Cenova nabidka NAFTA'!$H26)</f>
        <v>0</v>
      </c>
      <c r="H57" s="120">
        <f>'NABIDKA DOPRAVCE'!$J30*'Vypocty indexu'!H38*('Cenova nabidka NAFTA'!$G26+'Cenova nabidka NAFTA'!$H26)</f>
        <v>0</v>
      </c>
      <c r="I57" s="120">
        <f>'NABIDKA DOPRAVCE'!$J30*'Vypocty indexu'!I38*('Cenova nabidka NAFTA'!$G26+'Cenova nabidka NAFTA'!$H26)</f>
        <v>0</v>
      </c>
      <c r="J57" s="120">
        <f>'NABIDKA DOPRAVCE'!$J30*'Vypocty indexu'!J38*('Cenova nabidka NAFTA'!$G26+'Cenova nabidka NAFTA'!$H26)</f>
        <v>0</v>
      </c>
      <c r="K57" s="120">
        <f>'NABIDKA DOPRAVCE'!$J30*'Vypocty indexu'!K38*('Cenova nabidka NAFTA'!$G26+'Cenova nabidka NAFTA'!$H26)</f>
        <v>0</v>
      </c>
      <c r="L57" s="120">
        <f>'NABIDKA DOPRAVCE'!$J30*'Vypocty indexu'!L38*('Cenova nabidka NAFTA'!$G26+'Cenova nabidka NAFTA'!$H26)</f>
        <v>0</v>
      </c>
      <c r="M57" s="120">
        <f>'NABIDKA DOPRAVCE'!$J30*'Vypocty indexu'!M38*('Cenova nabidka NAFTA'!$G26+'Cenova nabidka NAFTA'!$H26)</f>
        <v>0</v>
      </c>
      <c r="N57" s="120">
        <f>'NABIDKA DOPRAVCE'!$J30*'Vypocty indexu'!N38*('Cenova nabidka NAFTA'!$G26+'Cenova nabidka NAFTA'!$H26)</f>
        <v>0</v>
      </c>
    </row>
    <row r="58" spans="2:14" ht="12.75" outlineLevel="1">
      <c r="B58" s="56">
        <v>25</v>
      </c>
      <c r="C58" s="47" t="s">
        <v>20</v>
      </c>
      <c r="D58" s="193"/>
      <c r="E58" s="120">
        <f>'NABIDKA DOPRAVCE'!$J31*'Vypocty indexu'!E39*('Cenova nabidka NAFTA'!$G27+'Cenova nabidka NAFTA'!$H27)</f>
        <v>0</v>
      </c>
      <c r="F58" s="120">
        <f>'NABIDKA DOPRAVCE'!$J31*'Vypocty indexu'!F39*('Cenova nabidka NAFTA'!$G27+'Cenova nabidka NAFTA'!$H27)</f>
        <v>0</v>
      </c>
      <c r="G58" s="120">
        <f>'NABIDKA DOPRAVCE'!$J31*'Vypocty indexu'!G39*('Cenova nabidka NAFTA'!$G27+'Cenova nabidka NAFTA'!$H27)</f>
        <v>0</v>
      </c>
      <c r="H58" s="120">
        <f>'NABIDKA DOPRAVCE'!$J31*'Vypocty indexu'!H39*('Cenova nabidka NAFTA'!$G27+'Cenova nabidka NAFTA'!$H27)</f>
        <v>0</v>
      </c>
      <c r="I58" s="120">
        <f>'NABIDKA DOPRAVCE'!$J31*'Vypocty indexu'!I39*('Cenova nabidka NAFTA'!$G27+'Cenova nabidka NAFTA'!$H27)</f>
        <v>0</v>
      </c>
      <c r="J58" s="120">
        <f>'NABIDKA DOPRAVCE'!$J31*'Vypocty indexu'!J39*('Cenova nabidka NAFTA'!$G27+'Cenova nabidka NAFTA'!$H27)</f>
        <v>0</v>
      </c>
      <c r="K58" s="120">
        <f>'NABIDKA DOPRAVCE'!$J31*'Vypocty indexu'!K39*('Cenova nabidka NAFTA'!$G27+'Cenova nabidka NAFTA'!$H27)</f>
        <v>0</v>
      </c>
      <c r="L58" s="120">
        <f>'NABIDKA DOPRAVCE'!$J31*'Vypocty indexu'!L39*('Cenova nabidka NAFTA'!$G27+'Cenova nabidka NAFTA'!$H27)</f>
        <v>0</v>
      </c>
      <c r="M58" s="120">
        <f>'NABIDKA DOPRAVCE'!$J31*'Vypocty indexu'!M39*('Cenova nabidka NAFTA'!$G27+'Cenova nabidka NAFTA'!$H27)</f>
        <v>0</v>
      </c>
      <c r="N58" s="120">
        <f>'NABIDKA DOPRAVCE'!$J31*'Vypocty indexu'!N39*('Cenova nabidka NAFTA'!$G27+'Cenova nabidka NAFTA'!$H27)</f>
        <v>0</v>
      </c>
    </row>
    <row r="59" spans="2:14" ht="12.75" outlineLevel="1">
      <c r="B59" s="67"/>
      <c r="C59" s="47"/>
      <c r="D59" s="193"/>
      <c r="E59" s="120"/>
      <c r="F59" s="120"/>
      <c r="G59" s="120"/>
      <c r="H59" s="120"/>
      <c r="I59" s="120"/>
      <c r="J59" s="120"/>
      <c r="K59" s="120"/>
      <c r="L59" s="120"/>
      <c r="M59" s="120"/>
      <c r="N59" s="120"/>
    </row>
    <row r="60" spans="2:14" ht="12.75" outlineLevel="1">
      <c r="B60" s="56">
        <v>97</v>
      </c>
      <c r="C60" s="47" t="s">
        <v>84</v>
      </c>
      <c r="D60" s="193"/>
      <c r="E60" s="120">
        <f>'NABIDKA DOPRAVCE'!$J33*'Vypocty indexu'!E41*('Cenova nabidka NAFTA'!$G29+'Cenova nabidka NAFTA'!$H29)</f>
        <v>0</v>
      </c>
      <c r="F60" s="120">
        <f>'NABIDKA DOPRAVCE'!$J33*'Vypocty indexu'!F41*('Cenova nabidka NAFTA'!$G29+'Cenova nabidka NAFTA'!$H29)</f>
        <v>0</v>
      </c>
      <c r="G60" s="120">
        <f>'NABIDKA DOPRAVCE'!$J33*'Vypocty indexu'!G41*('Cenova nabidka NAFTA'!$G29+'Cenova nabidka NAFTA'!$H29)</f>
        <v>0</v>
      </c>
      <c r="H60" s="120">
        <f>'NABIDKA DOPRAVCE'!$J33*'Vypocty indexu'!H41*('Cenova nabidka NAFTA'!$G29+'Cenova nabidka NAFTA'!$H29)</f>
        <v>0</v>
      </c>
      <c r="I60" s="120">
        <f>'NABIDKA DOPRAVCE'!$J33*'Vypocty indexu'!I41*('Cenova nabidka NAFTA'!$G29+'Cenova nabidka NAFTA'!$H29)</f>
        <v>0</v>
      </c>
      <c r="J60" s="120">
        <f>'NABIDKA DOPRAVCE'!$J33*'Vypocty indexu'!J41*('Cenova nabidka NAFTA'!$G29+'Cenova nabidka NAFTA'!$H29)</f>
        <v>0</v>
      </c>
      <c r="K60" s="120">
        <f>'NABIDKA DOPRAVCE'!$J33*'Vypocty indexu'!K41*('Cenova nabidka NAFTA'!$G29+'Cenova nabidka NAFTA'!$H29)</f>
        <v>0</v>
      </c>
      <c r="L60" s="120">
        <f>'NABIDKA DOPRAVCE'!$J33*'Vypocty indexu'!L41*('Cenova nabidka NAFTA'!$G29+'Cenova nabidka NAFTA'!$H29)</f>
        <v>0</v>
      </c>
      <c r="M60" s="120">
        <f>'NABIDKA DOPRAVCE'!$J33*'Vypocty indexu'!M41*('Cenova nabidka NAFTA'!$G29+'Cenova nabidka NAFTA'!$H29)</f>
        <v>0</v>
      </c>
      <c r="N60" s="120">
        <f>'NABIDKA DOPRAVCE'!$J33*'Vypocty indexu'!N41*('Cenova nabidka NAFTA'!$G29+'Cenova nabidka NAFTA'!$H29)</f>
        <v>0</v>
      </c>
    </row>
    <row r="61" spans="2:14" ht="12.75" outlineLevel="1">
      <c r="B61" s="56">
        <v>98</v>
      </c>
      <c r="C61" s="47" t="s">
        <v>44</v>
      </c>
      <c r="D61" s="193"/>
      <c r="E61" s="120">
        <f>'NABIDKA DOPRAVCE'!$J34*'Vypocty indexu'!E42*('Cenova nabidka NAFTA'!$G30+'Cenova nabidka NAFTA'!$H30)</f>
        <v>0</v>
      </c>
      <c r="F61" s="120">
        <f>'NABIDKA DOPRAVCE'!$J34*'Vypocty indexu'!F42*('Cenova nabidka NAFTA'!$G30+'Cenova nabidka NAFTA'!$H30)</f>
        <v>0</v>
      </c>
      <c r="G61" s="120">
        <f>'NABIDKA DOPRAVCE'!$J34*'Vypocty indexu'!G42*('Cenova nabidka NAFTA'!$G30+'Cenova nabidka NAFTA'!$H30)</f>
        <v>0</v>
      </c>
      <c r="H61" s="120">
        <f>'NABIDKA DOPRAVCE'!$J34*'Vypocty indexu'!H42*('Cenova nabidka NAFTA'!$G30+'Cenova nabidka NAFTA'!$H30)</f>
        <v>0</v>
      </c>
      <c r="I61" s="120">
        <f>'NABIDKA DOPRAVCE'!$J34*'Vypocty indexu'!I42*('Cenova nabidka NAFTA'!$G30+'Cenova nabidka NAFTA'!$H30)</f>
        <v>0</v>
      </c>
      <c r="J61" s="120">
        <f>'NABIDKA DOPRAVCE'!$J34*'Vypocty indexu'!J42*('Cenova nabidka NAFTA'!$G30+'Cenova nabidka NAFTA'!$H30)</f>
        <v>0</v>
      </c>
      <c r="K61" s="120">
        <f>'NABIDKA DOPRAVCE'!$J34*'Vypocty indexu'!K42*('Cenova nabidka NAFTA'!$G30+'Cenova nabidka NAFTA'!$H30)</f>
        <v>0</v>
      </c>
      <c r="L61" s="120">
        <f>'NABIDKA DOPRAVCE'!$J34*'Vypocty indexu'!L42*('Cenova nabidka NAFTA'!$G30+'Cenova nabidka NAFTA'!$H30)</f>
        <v>0</v>
      </c>
      <c r="M61" s="120">
        <f>'NABIDKA DOPRAVCE'!$J34*'Vypocty indexu'!M42*('Cenova nabidka NAFTA'!$G30+'Cenova nabidka NAFTA'!$H30)</f>
        <v>0</v>
      </c>
      <c r="N61" s="120">
        <f>'NABIDKA DOPRAVCE'!$J34*'Vypocty indexu'!N42*('Cenova nabidka NAFTA'!$G30+'Cenova nabidka NAFTA'!$H30)</f>
        <v>0</v>
      </c>
    </row>
    <row r="62" spans="2:14" ht="12.75" outlineLevel="1">
      <c r="B62" s="56">
        <v>99</v>
      </c>
      <c r="C62" s="47" t="s">
        <v>226</v>
      </c>
      <c r="D62" s="193"/>
      <c r="E62" s="749" t="s">
        <v>228</v>
      </c>
      <c r="F62" s="750"/>
      <c r="G62" s="750"/>
      <c r="H62" s="750"/>
      <c r="I62" s="750"/>
      <c r="J62" s="750"/>
      <c r="K62" s="750"/>
      <c r="L62" s="750"/>
      <c r="M62" s="750"/>
      <c r="N62" s="751"/>
    </row>
    <row r="63" spans="2:15" s="11" customFormat="1" ht="12.75">
      <c r="B63" s="190"/>
      <c r="C63" s="63" t="s">
        <v>106</v>
      </c>
      <c r="D63" s="193"/>
      <c r="E63" s="119">
        <f aca="true" t="shared" si="2" ref="E63:N63">ROUND(SUM(E38:E61),2)</f>
        <v>0</v>
      </c>
      <c r="F63" s="119">
        <f t="shared" si="2"/>
        <v>0</v>
      </c>
      <c r="G63" s="119">
        <f t="shared" si="2"/>
        <v>0</v>
      </c>
      <c r="H63" s="119">
        <f t="shared" si="2"/>
        <v>0</v>
      </c>
      <c r="I63" s="119">
        <f t="shared" si="2"/>
        <v>0</v>
      </c>
      <c r="J63" s="119">
        <f t="shared" si="2"/>
        <v>0</v>
      </c>
      <c r="K63" s="119">
        <f t="shared" si="2"/>
        <v>0</v>
      </c>
      <c r="L63" s="119">
        <f t="shared" si="2"/>
        <v>0</v>
      </c>
      <c r="M63" s="119">
        <f t="shared" si="2"/>
        <v>0</v>
      </c>
      <c r="N63" s="119">
        <f t="shared" si="2"/>
        <v>0</v>
      </c>
      <c r="O63" s="66"/>
    </row>
    <row r="64" spans="2:15" s="11" customFormat="1" ht="12.75">
      <c r="B64" s="187"/>
      <c r="C64" s="55"/>
      <c r="D64" s="188"/>
      <c r="E64" s="198"/>
      <c r="F64" s="189"/>
      <c r="G64" s="189"/>
      <c r="H64" s="189"/>
      <c r="I64" s="189"/>
      <c r="J64" s="189"/>
      <c r="K64" s="189"/>
      <c r="L64" s="189"/>
      <c r="M64" s="189"/>
      <c r="N64" s="199"/>
      <c r="O64" s="66"/>
    </row>
    <row r="65" spans="2:14" ht="12.75" customHeight="1">
      <c r="B65" s="11" t="str">
        <f>'Beh smlouvy'!B26</f>
        <v>Cena za Objížďky (dle Zadavatelem schválené délky objížděk)</v>
      </c>
      <c r="E65" s="101"/>
      <c r="F65" s="54"/>
      <c r="G65" s="54"/>
      <c r="H65" s="54"/>
      <c r="I65" s="54"/>
      <c r="J65" s="54"/>
      <c r="K65" s="54"/>
      <c r="L65" s="54"/>
      <c r="M65" s="54"/>
      <c r="N65" s="102"/>
    </row>
    <row r="66" spans="2:14" ht="12.75" outlineLevel="1">
      <c r="B66" s="53" t="s">
        <v>35</v>
      </c>
      <c r="C66" s="53" t="s">
        <v>65</v>
      </c>
      <c r="D66" s="54"/>
      <c r="E66" s="200"/>
      <c r="F66" s="126"/>
      <c r="G66" s="126"/>
      <c r="H66" s="126"/>
      <c r="I66" s="126"/>
      <c r="J66" s="126"/>
      <c r="K66" s="126"/>
      <c r="L66" s="126"/>
      <c r="M66" s="126"/>
      <c r="N66" s="201"/>
    </row>
    <row r="67" spans="2:14" ht="12.75" outlineLevel="1">
      <c r="B67" s="56" t="s">
        <v>22</v>
      </c>
      <c r="C67" s="47" t="s">
        <v>125</v>
      </c>
      <c r="D67" s="193"/>
      <c r="E67" s="118">
        <f>'NABIDKA DOPRAVCE'!$J11*'Vypocty indexu'!E19*'Cenova nabidka NAFTA'!$F7</f>
        <v>0</v>
      </c>
      <c r="F67" s="118">
        <f>'NABIDKA DOPRAVCE'!$J11*'Vypocty indexu'!F19*'Cenova nabidka NAFTA'!$F7</f>
        <v>0</v>
      </c>
      <c r="G67" s="118">
        <f>'NABIDKA DOPRAVCE'!$J11*'Vypocty indexu'!G19*'Cenova nabidka NAFTA'!$F7</f>
        <v>0</v>
      </c>
      <c r="H67" s="118">
        <f>'NABIDKA DOPRAVCE'!$J11*'Vypocty indexu'!H19*'Cenova nabidka NAFTA'!$F7</f>
        <v>0</v>
      </c>
      <c r="I67" s="118">
        <f>'NABIDKA DOPRAVCE'!$J11*'Vypocty indexu'!I19*'Cenova nabidka NAFTA'!$F7</f>
        <v>0</v>
      </c>
      <c r="J67" s="118">
        <f>'NABIDKA DOPRAVCE'!$J11*'Vypocty indexu'!J19*'Cenova nabidka NAFTA'!$F7</f>
        <v>0</v>
      </c>
      <c r="K67" s="118">
        <f>'NABIDKA DOPRAVCE'!$J11*'Vypocty indexu'!K19*'Cenova nabidka NAFTA'!$F7</f>
        <v>0</v>
      </c>
      <c r="L67" s="118">
        <f>'NABIDKA DOPRAVCE'!$J11*'Vypocty indexu'!L19*'Cenova nabidka NAFTA'!$F7</f>
        <v>0</v>
      </c>
      <c r="M67" s="118">
        <f>'NABIDKA DOPRAVCE'!$J11*'Vypocty indexu'!M19*'Cenova nabidka NAFTA'!$F7</f>
        <v>0</v>
      </c>
      <c r="N67" s="118">
        <f>'NABIDKA DOPRAVCE'!$J11*'Vypocty indexu'!N19*'Cenova nabidka NAFTA'!$F7</f>
        <v>0</v>
      </c>
    </row>
    <row r="68" spans="2:14" ht="12.75" outlineLevel="1">
      <c r="B68" s="56" t="s">
        <v>23</v>
      </c>
      <c r="C68" s="47" t="s">
        <v>126</v>
      </c>
      <c r="D68" s="193"/>
      <c r="E68" s="118">
        <f>'NABIDKA DOPRAVCE'!$J12*'Vypocty indexu'!E20*'Cenova nabidka NAFTA'!$F8</f>
        <v>0</v>
      </c>
      <c r="F68" s="118">
        <f>'NABIDKA DOPRAVCE'!$J12*'Vypocty indexu'!F20*'Cenova nabidka NAFTA'!$F8</f>
        <v>0</v>
      </c>
      <c r="G68" s="118">
        <f>'NABIDKA DOPRAVCE'!$J12*'Vypocty indexu'!G20*'Cenova nabidka NAFTA'!$F8</f>
        <v>0</v>
      </c>
      <c r="H68" s="118">
        <f>'NABIDKA DOPRAVCE'!$J12*'Vypocty indexu'!H20*'Cenova nabidka NAFTA'!$F8</f>
        <v>0</v>
      </c>
      <c r="I68" s="118">
        <f>'NABIDKA DOPRAVCE'!$J12*'Vypocty indexu'!I20*'Cenova nabidka NAFTA'!$F8</f>
        <v>0</v>
      </c>
      <c r="J68" s="118">
        <f>'NABIDKA DOPRAVCE'!$J12*'Vypocty indexu'!J20*'Cenova nabidka NAFTA'!$F8</f>
        <v>0</v>
      </c>
      <c r="K68" s="118">
        <f>'NABIDKA DOPRAVCE'!$J12*'Vypocty indexu'!K20*'Cenova nabidka NAFTA'!$F8</f>
        <v>0</v>
      </c>
      <c r="L68" s="118">
        <f>'NABIDKA DOPRAVCE'!$J12*'Vypocty indexu'!L20*'Cenova nabidka NAFTA'!$F8</f>
        <v>0</v>
      </c>
      <c r="M68" s="118">
        <f>'NABIDKA DOPRAVCE'!$J12*'Vypocty indexu'!M20*'Cenova nabidka NAFTA'!$F8</f>
        <v>0</v>
      </c>
      <c r="N68" s="118">
        <f>'NABIDKA DOPRAVCE'!$J12*'Vypocty indexu'!N20*'Cenova nabidka NAFTA'!$F8</f>
        <v>0</v>
      </c>
    </row>
    <row r="69" spans="2:14" ht="12.75" outlineLevel="1">
      <c r="B69" s="56" t="s">
        <v>24</v>
      </c>
      <c r="C69" s="47" t="s">
        <v>262</v>
      </c>
      <c r="D69" s="193"/>
      <c r="E69" s="118">
        <f>'NABIDKA DOPRAVCE'!$J13*'Vypocty indexu'!E21*'Cenova nabidka NAFTA'!$F9</f>
        <v>0</v>
      </c>
      <c r="F69" s="118">
        <f>'NABIDKA DOPRAVCE'!$J13*'Vypocty indexu'!F21*'Cenova nabidka NAFTA'!$F9</f>
        <v>0</v>
      </c>
      <c r="G69" s="118">
        <f>'NABIDKA DOPRAVCE'!$J13*'Vypocty indexu'!G21*'Cenova nabidka NAFTA'!$F9</f>
        <v>0</v>
      </c>
      <c r="H69" s="118">
        <f>'NABIDKA DOPRAVCE'!$J13*'Vypocty indexu'!H21*'Cenova nabidka NAFTA'!$F9</f>
        <v>0</v>
      </c>
      <c r="I69" s="118">
        <f>'NABIDKA DOPRAVCE'!$J13*'Vypocty indexu'!I21*'Cenova nabidka NAFTA'!$F9</f>
        <v>0</v>
      </c>
      <c r="J69" s="118">
        <f>'NABIDKA DOPRAVCE'!$J13*'Vypocty indexu'!J21*'Cenova nabidka NAFTA'!$F9</f>
        <v>0</v>
      </c>
      <c r="K69" s="118">
        <f>'NABIDKA DOPRAVCE'!$J13*'Vypocty indexu'!K21*'Cenova nabidka NAFTA'!$F9</f>
        <v>0</v>
      </c>
      <c r="L69" s="118">
        <f>'NABIDKA DOPRAVCE'!$J13*'Vypocty indexu'!L21*'Cenova nabidka NAFTA'!$F9</f>
        <v>0</v>
      </c>
      <c r="M69" s="118">
        <f>'NABIDKA DOPRAVCE'!$J13*'Vypocty indexu'!M21*'Cenova nabidka NAFTA'!$F9</f>
        <v>0</v>
      </c>
      <c r="N69" s="118">
        <f>'NABIDKA DOPRAVCE'!$J13*'Vypocty indexu'!N21*'Cenova nabidka NAFTA'!$F9</f>
        <v>0</v>
      </c>
    </row>
    <row r="70" spans="2:14" ht="12.75" outlineLevel="1">
      <c r="B70" s="56" t="s">
        <v>123</v>
      </c>
      <c r="C70" s="47" t="s">
        <v>127</v>
      </c>
      <c r="D70" s="193"/>
      <c r="E70" s="118">
        <f>'NABIDKA DOPRAVCE'!$J14*'Vypocty indexu'!E22*'Cenova nabidka NAFTA'!$F10</f>
        <v>0</v>
      </c>
      <c r="F70" s="118">
        <f>'NABIDKA DOPRAVCE'!$J14*'Vypocty indexu'!F22*'Cenova nabidka NAFTA'!$F10</f>
        <v>0</v>
      </c>
      <c r="G70" s="118">
        <f>'NABIDKA DOPRAVCE'!$J14*'Vypocty indexu'!G22*'Cenova nabidka NAFTA'!$F10</f>
        <v>0</v>
      </c>
      <c r="H70" s="118">
        <f>'NABIDKA DOPRAVCE'!$J14*'Vypocty indexu'!H22*'Cenova nabidka NAFTA'!$F10</f>
        <v>0</v>
      </c>
      <c r="I70" s="118">
        <f>'NABIDKA DOPRAVCE'!$J14*'Vypocty indexu'!I22*'Cenova nabidka NAFTA'!$F10</f>
        <v>0</v>
      </c>
      <c r="J70" s="118">
        <f>'NABIDKA DOPRAVCE'!$J14*'Vypocty indexu'!J22*'Cenova nabidka NAFTA'!$F10</f>
        <v>0</v>
      </c>
      <c r="K70" s="118">
        <f>'NABIDKA DOPRAVCE'!$J14*'Vypocty indexu'!K22*'Cenova nabidka NAFTA'!$F10</f>
        <v>0</v>
      </c>
      <c r="L70" s="118">
        <f>'NABIDKA DOPRAVCE'!$J14*'Vypocty indexu'!L22*'Cenova nabidka NAFTA'!$F10</f>
        <v>0</v>
      </c>
      <c r="M70" s="118">
        <f>'NABIDKA DOPRAVCE'!$J14*'Vypocty indexu'!M22*'Cenova nabidka NAFTA'!$F10</f>
        <v>0</v>
      </c>
      <c r="N70" s="118">
        <f>'NABIDKA DOPRAVCE'!$J14*'Vypocty indexu'!N22*'Cenova nabidka NAFTA'!$F10</f>
        <v>0</v>
      </c>
    </row>
    <row r="71" spans="2:14" ht="12.75" outlineLevel="1">
      <c r="B71" s="56">
        <v>12</v>
      </c>
      <c r="C71" s="47" t="s">
        <v>8</v>
      </c>
      <c r="D71" s="193"/>
      <c r="E71" s="118">
        <f>'NABIDKA DOPRAVCE'!$J15*'Vypocty indexu'!E23*'Cenova nabidka NAFTA'!$F11</f>
        <v>0</v>
      </c>
      <c r="F71" s="118">
        <f>'NABIDKA DOPRAVCE'!$J15*'Vypocty indexu'!F23*'Cenova nabidka NAFTA'!$F11</f>
        <v>0</v>
      </c>
      <c r="G71" s="118">
        <f>'NABIDKA DOPRAVCE'!$J15*'Vypocty indexu'!G23*'Cenova nabidka NAFTA'!$F11</f>
        <v>0</v>
      </c>
      <c r="H71" s="118">
        <f>'NABIDKA DOPRAVCE'!$J15*'Vypocty indexu'!H23*'Cenova nabidka NAFTA'!$F11</f>
        <v>0</v>
      </c>
      <c r="I71" s="118">
        <f>'NABIDKA DOPRAVCE'!$J15*'Vypocty indexu'!I23*'Cenova nabidka NAFTA'!$F11</f>
        <v>0</v>
      </c>
      <c r="J71" s="118">
        <f>'NABIDKA DOPRAVCE'!$J15*'Vypocty indexu'!J23*'Cenova nabidka NAFTA'!$F11</f>
        <v>0</v>
      </c>
      <c r="K71" s="118">
        <f>'NABIDKA DOPRAVCE'!$J15*'Vypocty indexu'!K23*'Cenova nabidka NAFTA'!$F11</f>
        <v>0</v>
      </c>
      <c r="L71" s="118">
        <f>'NABIDKA DOPRAVCE'!$J15*'Vypocty indexu'!L23*'Cenova nabidka NAFTA'!$F11</f>
        <v>0</v>
      </c>
      <c r="M71" s="118">
        <f>'NABIDKA DOPRAVCE'!$J15*'Vypocty indexu'!M23*'Cenova nabidka NAFTA'!$F11</f>
        <v>0</v>
      </c>
      <c r="N71" s="118">
        <f>'NABIDKA DOPRAVCE'!$J15*'Vypocty indexu'!N23*'Cenova nabidka NAFTA'!$F11</f>
        <v>0</v>
      </c>
    </row>
    <row r="72" spans="2:14" ht="12.75" outlineLevel="1">
      <c r="B72" s="56">
        <v>13</v>
      </c>
      <c r="C72" s="47" t="s">
        <v>9</v>
      </c>
      <c r="D72" s="193"/>
      <c r="E72" s="118">
        <f>'NABIDKA DOPRAVCE'!$J16*'Vypocty indexu'!E24*'Cenova nabidka NAFTA'!$F12</f>
        <v>0</v>
      </c>
      <c r="F72" s="118">
        <f>'NABIDKA DOPRAVCE'!$J16*'Vypocty indexu'!F24*'Cenova nabidka NAFTA'!$F12</f>
        <v>0</v>
      </c>
      <c r="G72" s="118">
        <f>'NABIDKA DOPRAVCE'!$J16*'Vypocty indexu'!G24*'Cenova nabidka NAFTA'!$F12</f>
        <v>0</v>
      </c>
      <c r="H72" s="118">
        <f>'NABIDKA DOPRAVCE'!$J16*'Vypocty indexu'!H24*'Cenova nabidka NAFTA'!$F12</f>
        <v>0</v>
      </c>
      <c r="I72" s="118">
        <f>'NABIDKA DOPRAVCE'!$J16*'Vypocty indexu'!I24*'Cenova nabidka NAFTA'!$F12</f>
        <v>0</v>
      </c>
      <c r="J72" s="118">
        <f>'NABIDKA DOPRAVCE'!$J16*'Vypocty indexu'!J24*'Cenova nabidka NAFTA'!$F12</f>
        <v>0</v>
      </c>
      <c r="K72" s="118">
        <f>'NABIDKA DOPRAVCE'!$J16*'Vypocty indexu'!K24*'Cenova nabidka NAFTA'!$F12</f>
        <v>0</v>
      </c>
      <c r="L72" s="118">
        <f>'NABIDKA DOPRAVCE'!$J16*'Vypocty indexu'!L24*'Cenova nabidka NAFTA'!$F12</f>
        <v>0</v>
      </c>
      <c r="M72" s="118">
        <f>'NABIDKA DOPRAVCE'!$J16*'Vypocty indexu'!M24*'Cenova nabidka NAFTA'!$F12</f>
        <v>0</v>
      </c>
      <c r="N72" s="118">
        <f>'NABIDKA DOPRAVCE'!$J16*'Vypocty indexu'!N24*'Cenova nabidka NAFTA'!$F12</f>
        <v>0</v>
      </c>
    </row>
    <row r="73" spans="2:14" ht="12.75" outlineLevel="1">
      <c r="B73" s="56" t="s">
        <v>28</v>
      </c>
      <c r="C73" s="47" t="s">
        <v>59</v>
      </c>
      <c r="D73" s="193"/>
      <c r="E73" s="118">
        <f>'NABIDKA DOPRAVCE'!$J17*'Vypocty indexu'!E25*'Cenova nabidka NAFTA'!$F13</f>
        <v>0</v>
      </c>
      <c r="F73" s="118">
        <f>'NABIDKA DOPRAVCE'!$J17*'Vypocty indexu'!F25*'Cenova nabidka NAFTA'!$F13</f>
        <v>0</v>
      </c>
      <c r="G73" s="118">
        <f>'NABIDKA DOPRAVCE'!$J17*'Vypocty indexu'!G25*'Cenova nabidka NAFTA'!$F13</f>
        <v>0</v>
      </c>
      <c r="H73" s="118">
        <f>'NABIDKA DOPRAVCE'!$J17*'Vypocty indexu'!H25*'Cenova nabidka NAFTA'!$F13</f>
        <v>0</v>
      </c>
      <c r="I73" s="118">
        <f>'NABIDKA DOPRAVCE'!$J17*'Vypocty indexu'!I25*'Cenova nabidka NAFTA'!$F13</f>
        <v>0</v>
      </c>
      <c r="J73" s="118">
        <f>'NABIDKA DOPRAVCE'!$J17*'Vypocty indexu'!J25*'Cenova nabidka NAFTA'!$F13</f>
        <v>0</v>
      </c>
      <c r="K73" s="118">
        <f>'NABIDKA DOPRAVCE'!$J17*'Vypocty indexu'!K25*'Cenova nabidka NAFTA'!$F13</f>
        <v>0</v>
      </c>
      <c r="L73" s="118">
        <f>'NABIDKA DOPRAVCE'!$J17*'Vypocty indexu'!L25*'Cenova nabidka NAFTA'!$F13</f>
        <v>0</v>
      </c>
      <c r="M73" s="118">
        <f>'NABIDKA DOPRAVCE'!$J17*'Vypocty indexu'!M25*'Cenova nabidka NAFTA'!$F13</f>
        <v>0</v>
      </c>
      <c r="N73" s="118">
        <f>'NABIDKA DOPRAVCE'!$J17*'Vypocty indexu'!N25*'Cenova nabidka NAFTA'!$F13</f>
        <v>0</v>
      </c>
    </row>
    <row r="74" spans="2:14" ht="12.75" outlineLevel="1">
      <c r="B74" s="56" t="s">
        <v>29</v>
      </c>
      <c r="C74" s="47" t="s">
        <v>60</v>
      </c>
      <c r="D74" s="193"/>
      <c r="E74" s="118">
        <f>'NABIDKA DOPRAVCE'!$J18*'Vypocty indexu'!E26*'Cenova nabidka NAFTA'!$F14</f>
        <v>0</v>
      </c>
      <c r="F74" s="118">
        <f>'NABIDKA DOPRAVCE'!$J18*'Vypocty indexu'!F26*'Cenova nabidka NAFTA'!$F14</f>
        <v>0</v>
      </c>
      <c r="G74" s="118">
        <f>'NABIDKA DOPRAVCE'!$J18*'Vypocty indexu'!G26*'Cenova nabidka NAFTA'!$F14</f>
        <v>0</v>
      </c>
      <c r="H74" s="118">
        <f>'NABIDKA DOPRAVCE'!$J18*'Vypocty indexu'!H26*'Cenova nabidka NAFTA'!$F14</f>
        <v>0</v>
      </c>
      <c r="I74" s="118">
        <f>'NABIDKA DOPRAVCE'!$J18*'Vypocty indexu'!I26*'Cenova nabidka NAFTA'!$F14</f>
        <v>0</v>
      </c>
      <c r="J74" s="118">
        <f>'NABIDKA DOPRAVCE'!$J18*'Vypocty indexu'!J26*'Cenova nabidka NAFTA'!$F14</f>
        <v>0</v>
      </c>
      <c r="K74" s="118">
        <f>'NABIDKA DOPRAVCE'!$J18*'Vypocty indexu'!K26*'Cenova nabidka NAFTA'!$F14</f>
        <v>0</v>
      </c>
      <c r="L74" s="118">
        <f>'NABIDKA DOPRAVCE'!$J18*'Vypocty indexu'!L26*'Cenova nabidka NAFTA'!$F14</f>
        <v>0</v>
      </c>
      <c r="M74" s="118">
        <f>'NABIDKA DOPRAVCE'!$J18*'Vypocty indexu'!M26*'Cenova nabidka NAFTA'!$F14</f>
        <v>0</v>
      </c>
      <c r="N74" s="118">
        <f>'NABIDKA DOPRAVCE'!$J18*'Vypocty indexu'!N26*'Cenova nabidka NAFTA'!$F14</f>
        <v>0</v>
      </c>
    </row>
    <row r="75" spans="2:14" ht="12.75" outlineLevel="1">
      <c r="B75" s="56">
        <v>15</v>
      </c>
      <c r="C75" s="47" t="s">
        <v>42</v>
      </c>
      <c r="D75" s="193"/>
      <c r="E75" s="118">
        <f>'NABIDKA DOPRAVCE'!$J19*'Vypocty indexu'!E27*'Cenova nabidka NAFTA'!$F15</f>
        <v>0</v>
      </c>
      <c r="F75" s="118">
        <f>'NABIDKA DOPRAVCE'!$J19*'Vypocty indexu'!F27*'Cenova nabidka NAFTA'!$F15</f>
        <v>0</v>
      </c>
      <c r="G75" s="118">
        <f>'NABIDKA DOPRAVCE'!$J19*'Vypocty indexu'!G27*'Cenova nabidka NAFTA'!$F15</f>
        <v>0</v>
      </c>
      <c r="H75" s="118">
        <f>'NABIDKA DOPRAVCE'!$J19*'Vypocty indexu'!H27*'Cenova nabidka NAFTA'!$F15</f>
        <v>0</v>
      </c>
      <c r="I75" s="118">
        <f>'NABIDKA DOPRAVCE'!$J19*'Vypocty indexu'!I27*'Cenova nabidka NAFTA'!$F15</f>
        <v>0</v>
      </c>
      <c r="J75" s="118">
        <f>'NABIDKA DOPRAVCE'!$J19*'Vypocty indexu'!J27*'Cenova nabidka NAFTA'!$F15</f>
        <v>0</v>
      </c>
      <c r="K75" s="118">
        <f>'NABIDKA DOPRAVCE'!$J19*'Vypocty indexu'!K27*'Cenova nabidka NAFTA'!$F15</f>
        <v>0</v>
      </c>
      <c r="L75" s="118">
        <f>'NABIDKA DOPRAVCE'!$J19*'Vypocty indexu'!L27*'Cenova nabidka NAFTA'!$F15</f>
        <v>0</v>
      </c>
      <c r="M75" s="118">
        <f>'NABIDKA DOPRAVCE'!$J19*'Vypocty indexu'!M27*'Cenova nabidka NAFTA'!$F15</f>
        <v>0</v>
      </c>
      <c r="N75" s="118">
        <f>'NABIDKA DOPRAVCE'!$J19*'Vypocty indexu'!N27*'Cenova nabidka NAFTA'!$F15</f>
        <v>0</v>
      </c>
    </row>
    <row r="76" spans="2:14" ht="12.75" outlineLevel="1">
      <c r="B76" s="56" t="s">
        <v>30</v>
      </c>
      <c r="C76" s="47" t="s">
        <v>61</v>
      </c>
      <c r="D76" s="193"/>
      <c r="E76" s="118">
        <f>'NABIDKA DOPRAVCE'!$J20*'Vypocty indexu'!E28*'Cenova nabidka NAFTA'!$F16</f>
        <v>0</v>
      </c>
      <c r="F76" s="118">
        <f>'NABIDKA DOPRAVCE'!$J20*'Vypocty indexu'!F28*'Cenova nabidka NAFTA'!$F16</f>
        <v>0</v>
      </c>
      <c r="G76" s="118">
        <f>'NABIDKA DOPRAVCE'!$J20*'Vypocty indexu'!G28*'Cenova nabidka NAFTA'!$F16</f>
        <v>0</v>
      </c>
      <c r="H76" s="118">
        <f>'NABIDKA DOPRAVCE'!$J20*'Vypocty indexu'!H28*'Cenova nabidka NAFTA'!$F16</f>
        <v>0</v>
      </c>
      <c r="I76" s="118">
        <f>'NABIDKA DOPRAVCE'!$J20*'Vypocty indexu'!I28*'Cenova nabidka NAFTA'!$F16</f>
        <v>0</v>
      </c>
      <c r="J76" s="118">
        <f>'NABIDKA DOPRAVCE'!$J20*'Vypocty indexu'!J28*'Cenova nabidka NAFTA'!$F16</f>
        <v>0</v>
      </c>
      <c r="K76" s="118">
        <f>'NABIDKA DOPRAVCE'!$J20*'Vypocty indexu'!K28*'Cenova nabidka NAFTA'!$F16</f>
        <v>0</v>
      </c>
      <c r="L76" s="118">
        <f>'NABIDKA DOPRAVCE'!$J20*'Vypocty indexu'!L28*'Cenova nabidka NAFTA'!$F16</f>
        <v>0</v>
      </c>
      <c r="M76" s="118">
        <f>'NABIDKA DOPRAVCE'!$J20*'Vypocty indexu'!M28*'Cenova nabidka NAFTA'!$F16</f>
        <v>0</v>
      </c>
      <c r="N76" s="118">
        <f>'NABIDKA DOPRAVCE'!$J20*'Vypocty indexu'!N28*'Cenova nabidka NAFTA'!$F16</f>
        <v>0</v>
      </c>
    </row>
    <row r="77" spans="2:14" ht="12.75" outlineLevel="1">
      <c r="B77" s="56" t="s">
        <v>31</v>
      </c>
      <c r="C77" s="47" t="s">
        <v>62</v>
      </c>
      <c r="D77" s="193"/>
      <c r="E77" s="118">
        <f>'NABIDKA DOPRAVCE'!$J21*'Vypocty indexu'!E29*'Cenova nabidka NAFTA'!$F17</f>
        <v>0</v>
      </c>
      <c r="F77" s="118">
        <f>'NABIDKA DOPRAVCE'!$J21*'Vypocty indexu'!F29*'Cenova nabidka NAFTA'!$F17</f>
        <v>0</v>
      </c>
      <c r="G77" s="118">
        <f>'NABIDKA DOPRAVCE'!$J21*'Vypocty indexu'!G29*'Cenova nabidka NAFTA'!$F17</f>
        <v>0</v>
      </c>
      <c r="H77" s="118">
        <f>'NABIDKA DOPRAVCE'!$J21*'Vypocty indexu'!H29*'Cenova nabidka NAFTA'!$F17</f>
        <v>0</v>
      </c>
      <c r="I77" s="118">
        <f>'NABIDKA DOPRAVCE'!$J21*'Vypocty indexu'!I29*'Cenova nabidka NAFTA'!$F17</f>
        <v>0</v>
      </c>
      <c r="J77" s="118">
        <f>'NABIDKA DOPRAVCE'!$J21*'Vypocty indexu'!J29*'Cenova nabidka NAFTA'!$F17</f>
        <v>0</v>
      </c>
      <c r="K77" s="118">
        <f>'NABIDKA DOPRAVCE'!$J21*'Vypocty indexu'!K29*'Cenova nabidka NAFTA'!$F17</f>
        <v>0</v>
      </c>
      <c r="L77" s="118">
        <f>'NABIDKA DOPRAVCE'!$J21*'Vypocty indexu'!L29*'Cenova nabidka NAFTA'!$F17</f>
        <v>0</v>
      </c>
      <c r="M77" s="118">
        <f>'NABIDKA DOPRAVCE'!$J21*'Vypocty indexu'!M29*'Cenova nabidka NAFTA'!$F17</f>
        <v>0</v>
      </c>
      <c r="N77" s="118">
        <f>'NABIDKA DOPRAVCE'!$J21*'Vypocty indexu'!N29*'Cenova nabidka NAFTA'!$F17</f>
        <v>0</v>
      </c>
    </row>
    <row r="78" spans="2:14" ht="12.75" outlineLevel="1">
      <c r="B78" s="56" t="s">
        <v>40</v>
      </c>
      <c r="C78" s="47" t="s">
        <v>63</v>
      </c>
      <c r="D78" s="193"/>
      <c r="E78" s="118">
        <f>'NABIDKA DOPRAVCE'!$J22*'Vypocty indexu'!E30*'Cenova nabidka NAFTA'!$F18</f>
        <v>0</v>
      </c>
      <c r="F78" s="118">
        <f>'NABIDKA DOPRAVCE'!$J22*'Vypocty indexu'!F30*'Cenova nabidka NAFTA'!$F18</f>
        <v>0</v>
      </c>
      <c r="G78" s="118">
        <f>'NABIDKA DOPRAVCE'!$J22*'Vypocty indexu'!G30*'Cenova nabidka NAFTA'!$F18</f>
        <v>0</v>
      </c>
      <c r="H78" s="118">
        <f>'NABIDKA DOPRAVCE'!$J22*'Vypocty indexu'!H30*'Cenova nabidka NAFTA'!$F18</f>
        <v>0</v>
      </c>
      <c r="I78" s="118">
        <f>'NABIDKA DOPRAVCE'!$J22*'Vypocty indexu'!I30*'Cenova nabidka NAFTA'!$F18</f>
        <v>0</v>
      </c>
      <c r="J78" s="118">
        <f>'NABIDKA DOPRAVCE'!$J22*'Vypocty indexu'!J30*'Cenova nabidka NAFTA'!$F18</f>
        <v>0</v>
      </c>
      <c r="K78" s="118">
        <f>'NABIDKA DOPRAVCE'!$J22*'Vypocty indexu'!K30*'Cenova nabidka NAFTA'!$F18</f>
        <v>0</v>
      </c>
      <c r="L78" s="118">
        <f>'NABIDKA DOPRAVCE'!$J22*'Vypocty indexu'!L30*'Cenova nabidka NAFTA'!$F18</f>
        <v>0</v>
      </c>
      <c r="M78" s="118">
        <f>'NABIDKA DOPRAVCE'!$J22*'Vypocty indexu'!M30*'Cenova nabidka NAFTA'!$F18</f>
        <v>0</v>
      </c>
      <c r="N78" s="118">
        <f>'NABIDKA DOPRAVCE'!$J22*'Vypocty indexu'!N30*'Cenova nabidka NAFTA'!$F18</f>
        <v>0</v>
      </c>
    </row>
    <row r="79" spans="2:14" ht="12.75" outlineLevel="1">
      <c r="B79" s="56" t="s">
        <v>41</v>
      </c>
      <c r="C79" s="47" t="s">
        <v>64</v>
      </c>
      <c r="D79" s="193"/>
      <c r="E79" s="118">
        <f>'NABIDKA DOPRAVCE'!$J23*'Vypocty indexu'!E31*'Cenova nabidka NAFTA'!$F19</f>
        <v>0</v>
      </c>
      <c r="F79" s="118">
        <f>'NABIDKA DOPRAVCE'!$J23*'Vypocty indexu'!F31*'Cenova nabidka NAFTA'!$F19</f>
        <v>0</v>
      </c>
      <c r="G79" s="118">
        <f>'NABIDKA DOPRAVCE'!$J23*'Vypocty indexu'!G31*'Cenova nabidka NAFTA'!$F19</f>
        <v>0</v>
      </c>
      <c r="H79" s="118">
        <f>'NABIDKA DOPRAVCE'!$J23*'Vypocty indexu'!H31*'Cenova nabidka NAFTA'!$F19</f>
        <v>0</v>
      </c>
      <c r="I79" s="118">
        <f>'NABIDKA DOPRAVCE'!$J23*'Vypocty indexu'!I31*'Cenova nabidka NAFTA'!$F19</f>
        <v>0</v>
      </c>
      <c r="J79" s="118">
        <f>'NABIDKA DOPRAVCE'!$J23*'Vypocty indexu'!J31*'Cenova nabidka NAFTA'!$F19</f>
        <v>0</v>
      </c>
      <c r="K79" s="118">
        <f>'NABIDKA DOPRAVCE'!$J23*'Vypocty indexu'!K31*'Cenova nabidka NAFTA'!$F19</f>
        <v>0</v>
      </c>
      <c r="L79" s="118">
        <f>'NABIDKA DOPRAVCE'!$J23*'Vypocty indexu'!L31*'Cenova nabidka NAFTA'!$F19</f>
        <v>0</v>
      </c>
      <c r="M79" s="118">
        <f>'NABIDKA DOPRAVCE'!$J23*'Vypocty indexu'!M31*'Cenova nabidka NAFTA'!$F19</f>
        <v>0</v>
      </c>
      <c r="N79" s="118">
        <f>'NABIDKA DOPRAVCE'!$J23*'Vypocty indexu'!N31*'Cenova nabidka NAFTA'!$F19</f>
        <v>0</v>
      </c>
    </row>
    <row r="80" spans="2:14" ht="12.75" outlineLevel="1">
      <c r="B80" s="56">
        <v>18</v>
      </c>
      <c r="C80" s="47" t="s">
        <v>13</v>
      </c>
      <c r="D80" s="193"/>
      <c r="E80" s="118">
        <f>'NABIDKA DOPRAVCE'!$J24*'Vypocty indexu'!E32*'Cenova nabidka NAFTA'!$F20</f>
        <v>0</v>
      </c>
      <c r="F80" s="118">
        <f>'NABIDKA DOPRAVCE'!$J24*'Vypocty indexu'!F32*'Cenova nabidka NAFTA'!$F20</f>
        <v>0</v>
      </c>
      <c r="G80" s="118">
        <f>'NABIDKA DOPRAVCE'!$J24*'Vypocty indexu'!G32*'Cenova nabidka NAFTA'!$F20</f>
        <v>0</v>
      </c>
      <c r="H80" s="118">
        <f>'NABIDKA DOPRAVCE'!$J24*'Vypocty indexu'!H32*'Cenova nabidka NAFTA'!$F20</f>
        <v>0</v>
      </c>
      <c r="I80" s="118">
        <f>'NABIDKA DOPRAVCE'!$J24*'Vypocty indexu'!I32*'Cenova nabidka NAFTA'!$F20</f>
        <v>0</v>
      </c>
      <c r="J80" s="118">
        <f>'NABIDKA DOPRAVCE'!$J24*'Vypocty indexu'!J32*'Cenova nabidka NAFTA'!$F20</f>
        <v>0</v>
      </c>
      <c r="K80" s="118">
        <f>'NABIDKA DOPRAVCE'!$J24*'Vypocty indexu'!K32*'Cenova nabidka NAFTA'!$F20</f>
        <v>0</v>
      </c>
      <c r="L80" s="118">
        <f>'NABIDKA DOPRAVCE'!$J24*'Vypocty indexu'!L32*'Cenova nabidka NAFTA'!$F20</f>
        <v>0</v>
      </c>
      <c r="M80" s="118">
        <f>'NABIDKA DOPRAVCE'!$J24*'Vypocty indexu'!M32*'Cenova nabidka NAFTA'!$F20</f>
        <v>0</v>
      </c>
      <c r="N80" s="118">
        <f>'NABIDKA DOPRAVCE'!$J24*'Vypocty indexu'!N32*'Cenova nabidka NAFTA'!$F20</f>
        <v>0</v>
      </c>
    </row>
    <row r="81" spans="2:14" ht="12.75" outlineLevel="1">
      <c r="B81" s="56">
        <v>19</v>
      </c>
      <c r="C81" s="47" t="s">
        <v>14</v>
      </c>
      <c r="D81" s="193"/>
      <c r="E81" s="118">
        <f>'NABIDKA DOPRAVCE'!$J25*'Vypocty indexu'!E33*'Cenova nabidka NAFTA'!$F21</f>
        <v>0</v>
      </c>
      <c r="F81" s="118">
        <f>'NABIDKA DOPRAVCE'!$J25*'Vypocty indexu'!F33*'Cenova nabidka NAFTA'!$F21</f>
        <v>0</v>
      </c>
      <c r="G81" s="118">
        <f>'NABIDKA DOPRAVCE'!$J25*'Vypocty indexu'!G33*'Cenova nabidka NAFTA'!$F21</f>
        <v>0</v>
      </c>
      <c r="H81" s="118">
        <f>'NABIDKA DOPRAVCE'!$J25*'Vypocty indexu'!H33*'Cenova nabidka NAFTA'!$F21</f>
        <v>0</v>
      </c>
      <c r="I81" s="118">
        <f>'NABIDKA DOPRAVCE'!$J25*'Vypocty indexu'!I33*'Cenova nabidka NAFTA'!$F21</f>
        <v>0</v>
      </c>
      <c r="J81" s="118">
        <f>'NABIDKA DOPRAVCE'!$J25*'Vypocty indexu'!J33*'Cenova nabidka NAFTA'!$F21</f>
        <v>0</v>
      </c>
      <c r="K81" s="118">
        <f>'NABIDKA DOPRAVCE'!$J25*'Vypocty indexu'!K33*'Cenova nabidka NAFTA'!$F21</f>
        <v>0</v>
      </c>
      <c r="L81" s="118">
        <f>'NABIDKA DOPRAVCE'!$J25*'Vypocty indexu'!L33*'Cenova nabidka NAFTA'!$F21</f>
        <v>0</v>
      </c>
      <c r="M81" s="118">
        <f>'NABIDKA DOPRAVCE'!$J25*'Vypocty indexu'!M33*'Cenova nabidka NAFTA'!$F21</f>
        <v>0</v>
      </c>
      <c r="N81" s="118">
        <f>'NABIDKA DOPRAVCE'!$J25*'Vypocty indexu'!N33*'Cenova nabidka NAFTA'!$F21</f>
        <v>0</v>
      </c>
    </row>
    <row r="82" spans="2:14" ht="12.75" outlineLevel="1">
      <c r="B82" s="56">
        <v>20</v>
      </c>
      <c r="C82" s="47" t="s">
        <v>15</v>
      </c>
      <c r="D82" s="193"/>
      <c r="E82" s="118">
        <f>'NABIDKA DOPRAVCE'!$J26*'Vypocty indexu'!E34*'Cenova nabidka NAFTA'!$F22</f>
        <v>0</v>
      </c>
      <c r="F82" s="118">
        <f>'NABIDKA DOPRAVCE'!$J26*'Vypocty indexu'!F34*'Cenova nabidka NAFTA'!$F22</f>
        <v>0</v>
      </c>
      <c r="G82" s="118">
        <f>'NABIDKA DOPRAVCE'!$J26*'Vypocty indexu'!G34*'Cenova nabidka NAFTA'!$F22</f>
        <v>0</v>
      </c>
      <c r="H82" s="118">
        <f>'NABIDKA DOPRAVCE'!$J26*'Vypocty indexu'!H34*'Cenova nabidka NAFTA'!$F22</f>
        <v>0</v>
      </c>
      <c r="I82" s="118">
        <f>'NABIDKA DOPRAVCE'!$J26*'Vypocty indexu'!I34*'Cenova nabidka NAFTA'!$F22</f>
        <v>0</v>
      </c>
      <c r="J82" s="118">
        <f>'NABIDKA DOPRAVCE'!$J26*'Vypocty indexu'!J34*'Cenova nabidka NAFTA'!$F22</f>
        <v>0</v>
      </c>
      <c r="K82" s="118">
        <f>'NABIDKA DOPRAVCE'!$J26*'Vypocty indexu'!K34*'Cenova nabidka NAFTA'!$F22</f>
        <v>0</v>
      </c>
      <c r="L82" s="118">
        <f>'NABIDKA DOPRAVCE'!$J26*'Vypocty indexu'!L34*'Cenova nabidka NAFTA'!$F22</f>
        <v>0</v>
      </c>
      <c r="M82" s="118">
        <f>'NABIDKA DOPRAVCE'!$J26*'Vypocty indexu'!M34*'Cenova nabidka NAFTA'!$F22</f>
        <v>0</v>
      </c>
      <c r="N82" s="118">
        <f>'NABIDKA DOPRAVCE'!$J26*'Vypocty indexu'!N34*'Cenova nabidka NAFTA'!$F22</f>
        <v>0</v>
      </c>
    </row>
    <row r="83" spans="2:14" ht="12.75" outlineLevel="1">
      <c r="B83" s="56">
        <v>21</v>
      </c>
      <c r="C83" s="47" t="s">
        <v>16</v>
      </c>
      <c r="D83" s="193"/>
      <c r="E83" s="118">
        <f>'NABIDKA DOPRAVCE'!$J27*'Vypocty indexu'!E35*'Cenova nabidka NAFTA'!$F23</f>
        <v>0.03196</v>
      </c>
      <c r="F83" s="118">
        <f>'NABIDKA DOPRAVCE'!$J27*'Vypocty indexu'!F35*'Cenova nabidka NAFTA'!$F23</f>
        <v>0</v>
      </c>
      <c r="G83" s="118">
        <f>'NABIDKA DOPRAVCE'!$J27*'Vypocty indexu'!G35*'Cenova nabidka NAFTA'!$F23</f>
        <v>0</v>
      </c>
      <c r="H83" s="118">
        <f>'NABIDKA DOPRAVCE'!$J27*'Vypocty indexu'!H35*'Cenova nabidka NAFTA'!$F23</f>
        <v>0</v>
      </c>
      <c r="I83" s="118">
        <f>'NABIDKA DOPRAVCE'!$J27*'Vypocty indexu'!I35*'Cenova nabidka NAFTA'!$F23</f>
        <v>0</v>
      </c>
      <c r="J83" s="118">
        <f>'NABIDKA DOPRAVCE'!$J27*'Vypocty indexu'!J35*'Cenova nabidka NAFTA'!$F23</f>
        <v>0</v>
      </c>
      <c r="K83" s="118">
        <f>'NABIDKA DOPRAVCE'!$J27*'Vypocty indexu'!K35*'Cenova nabidka NAFTA'!$F23</f>
        <v>0</v>
      </c>
      <c r="L83" s="118">
        <f>'NABIDKA DOPRAVCE'!$J27*'Vypocty indexu'!L35*'Cenova nabidka NAFTA'!$F23</f>
        <v>0</v>
      </c>
      <c r="M83" s="118">
        <f>'NABIDKA DOPRAVCE'!$J27*'Vypocty indexu'!M35*'Cenova nabidka NAFTA'!$F23</f>
        <v>0</v>
      </c>
      <c r="N83" s="118">
        <f>'NABIDKA DOPRAVCE'!$J27*'Vypocty indexu'!N35*'Cenova nabidka NAFTA'!$F23</f>
        <v>0</v>
      </c>
    </row>
    <row r="84" spans="2:14" ht="12.75" outlineLevel="1">
      <c r="B84" s="56">
        <v>22</v>
      </c>
      <c r="C84" s="47" t="s">
        <v>17</v>
      </c>
      <c r="D84" s="193"/>
      <c r="E84" s="118">
        <f>'NABIDKA DOPRAVCE'!$J28*'Vypocty indexu'!E36*'Cenova nabidka NAFTA'!$F24</f>
        <v>0</v>
      </c>
      <c r="F84" s="118">
        <f>'NABIDKA DOPRAVCE'!$J28*'Vypocty indexu'!F36*'Cenova nabidka NAFTA'!$F24</f>
        <v>0</v>
      </c>
      <c r="G84" s="118">
        <f>'NABIDKA DOPRAVCE'!$J28*'Vypocty indexu'!G36*'Cenova nabidka NAFTA'!$F24</f>
        <v>0</v>
      </c>
      <c r="H84" s="118">
        <f>'NABIDKA DOPRAVCE'!$J28*'Vypocty indexu'!H36*'Cenova nabidka NAFTA'!$F24</f>
        <v>0</v>
      </c>
      <c r="I84" s="118">
        <f>'NABIDKA DOPRAVCE'!$J28*'Vypocty indexu'!I36*'Cenova nabidka NAFTA'!$F24</f>
        <v>0</v>
      </c>
      <c r="J84" s="118">
        <f>'NABIDKA DOPRAVCE'!$J28*'Vypocty indexu'!J36*'Cenova nabidka NAFTA'!$F24</f>
        <v>0</v>
      </c>
      <c r="K84" s="118">
        <f>'NABIDKA DOPRAVCE'!$J28*'Vypocty indexu'!K36*'Cenova nabidka NAFTA'!$F24</f>
        <v>0</v>
      </c>
      <c r="L84" s="118">
        <f>'NABIDKA DOPRAVCE'!$J28*'Vypocty indexu'!L36*'Cenova nabidka NAFTA'!$F24</f>
        <v>0</v>
      </c>
      <c r="M84" s="118">
        <f>'NABIDKA DOPRAVCE'!$J28*'Vypocty indexu'!M36*'Cenova nabidka NAFTA'!$F24</f>
        <v>0</v>
      </c>
      <c r="N84" s="118">
        <f>'NABIDKA DOPRAVCE'!$J28*'Vypocty indexu'!N36*'Cenova nabidka NAFTA'!$F24</f>
        <v>0</v>
      </c>
    </row>
    <row r="85" spans="2:14" ht="12.75" outlineLevel="1">
      <c r="B85" s="56">
        <v>23</v>
      </c>
      <c r="C85" s="47" t="s">
        <v>18</v>
      </c>
      <c r="D85" s="193"/>
      <c r="E85" s="118">
        <f>'NABIDKA DOPRAVCE'!$J29*'Vypocty indexu'!E37*'Cenova nabidka NAFTA'!$F25</f>
        <v>0</v>
      </c>
      <c r="F85" s="118">
        <f>'NABIDKA DOPRAVCE'!$J29*'Vypocty indexu'!F37*'Cenova nabidka NAFTA'!$F25</f>
        <v>0</v>
      </c>
      <c r="G85" s="118">
        <f>'NABIDKA DOPRAVCE'!$J29*'Vypocty indexu'!G37*'Cenova nabidka NAFTA'!$F25</f>
        <v>0</v>
      </c>
      <c r="H85" s="118">
        <f>'NABIDKA DOPRAVCE'!$J29*'Vypocty indexu'!H37*'Cenova nabidka NAFTA'!$F25</f>
        <v>0</v>
      </c>
      <c r="I85" s="118">
        <f>'NABIDKA DOPRAVCE'!$J29*'Vypocty indexu'!I37*'Cenova nabidka NAFTA'!$F25</f>
        <v>0</v>
      </c>
      <c r="J85" s="118">
        <f>'NABIDKA DOPRAVCE'!$J29*'Vypocty indexu'!J37*'Cenova nabidka NAFTA'!$F25</f>
        <v>0</v>
      </c>
      <c r="K85" s="118">
        <f>'NABIDKA DOPRAVCE'!$J29*'Vypocty indexu'!K37*'Cenova nabidka NAFTA'!$F25</f>
        <v>0</v>
      </c>
      <c r="L85" s="118">
        <f>'NABIDKA DOPRAVCE'!$J29*'Vypocty indexu'!L37*'Cenova nabidka NAFTA'!$F25</f>
        <v>0</v>
      </c>
      <c r="M85" s="118">
        <f>'NABIDKA DOPRAVCE'!$J29*'Vypocty indexu'!M37*'Cenova nabidka NAFTA'!$F25</f>
        <v>0</v>
      </c>
      <c r="N85" s="118">
        <f>'NABIDKA DOPRAVCE'!$J29*'Vypocty indexu'!N37*'Cenova nabidka NAFTA'!$F25</f>
        <v>0</v>
      </c>
    </row>
    <row r="86" spans="2:14" ht="12.75" outlineLevel="1">
      <c r="B86" s="56">
        <v>24</v>
      </c>
      <c r="C86" s="47" t="s">
        <v>19</v>
      </c>
      <c r="D86" s="193"/>
      <c r="E86" s="118">
        <f>'NABIDKA DOPRAVCE'!$J30*'Vypocty indexu'!E38*'Cenova nabidka NAFTA'!$F26</f>
        <v>0</v>
      </c>
      <c r="F86" s="118">
        <f>'NABIDKA DOPRAVCE'!$J30*'Vypocty indexu'!F38*'Cenova nabidka NAFTA'!$F26</f>
        <v>0</v>
      </c>
      <c r="G86" s="118">
        <f>'NABIDKA DOPRAVCE'!$J30*'Vypocty indexu'!G38*'Cenova nabidka NAFTA'!$F26</f>
        <v>0</v>
      </c>
      <c r="H86" s="118">
        <f>'NABIDKA DOPRAVCE'!$J30*'Vypocty indexu'!H38*'Cenova nabidka NAFTA'!$F26</f>
        <v>0</v>
      </c>
      <c r="I86" s="118">
        <f>'NABIDKA DOPRAVCE'!$J30*'Vypocty indexu'!I38*'Cenova nabidka NAFTA'!$F26</f>
        <v>0</v>
      </c>
      <c r="J86" s="118">
        <f>'NABIDKA DOPRAVCE'!$J30*'Vypocty indexu'!J38*'Cenova nabidka NAFTA'!$F26</f>
        <v>0</v>
      </c>
      <c r="K86" s="118">
        <f>'NABIDKA DOPRAVCE'!$J30*'Vypocty indexu'!K38*'Cenova nabidka NAFTA'!$F26</f>
        <v>0</v>
      </c>
      <c r="L86" s="118">
        <f>'NABIDKA DOPRAVCE'!$J30*'Vypocty indexu'!L38*'Cenova nabidka NAFTA'!$F26</f>
        <v>0</v>
      </c>
      <c r="M86" s="118">
        <f>'NABIDKA DOPRAVCE'!$J30*'Vypocty indexu'!M38*'Cenova nabidka NAFTA'!$F26</f>
        <v>0</v>
      </c>
      <c r="N86" s="118">
        <f>'NABIDKA DOPRAVCE'!$J30*'Vypocty indexu'!N38*'Cenova nabidka NAFTA'!$F26</f>
        <v>0</v>
      </c>
    </row>
    <row r="87" spans="2:14" ht="12.75" outlineLevel="1">
      <c r="B87" s="56">
        <v>25</v>
      </c>
      <c r="C87" s="47" t="s">
        <v>20</v>
      </c>
      <c r="D87" s="193"/>
      <c r="E87" s="118">
        <f>'NABIDKA DOPRAVCE'!$J31*'Vypocty indexu'!E39*'Cenova nabidka NAFTA'!$F27</f>
        <v>0</v>
      </c>
      <c r="F87" s="118">
        <f>'NABIDKA DOPRAVCE'!$J31*'Vypocty indexu'!F39*'Cenova nabidka NAFTA'!$F27</f>
        <v>0</v>
      </c>
      <c r="G87" s="118">
        <f>'NABIDKA DOPRAVCE'!$J31*'Vypocty indexu'!G39*'Cenova nabidka NAFTA'!$F27</f>
        <v>0</v>
      </c>
      <c r="H87" s="118">
        <f>'NABIDKA DOPRAVCE'!$J31*'Vypocty indexu'!H39*'Cenova nabidka NAFTA'!$F27</f>
        <v>0</v>
      </c>
      <c r="I87" s="118">
        <f>'NABIDKA DOPRAVCE'!$J31*'Vypocty indexu'!I39*'Cenova nabidka NAFTA'!$F27</f>
        <v>0</v>
      </c>
      <c r="J87" s="118">
        <f>'NABIDKA DOPRAVCE'!$J31*'Vypocty indexu'!J39*'Cenova nabidka NAFTA'!$F27</f>
        <v>0</v>
      </c>
      <c r="K87" s="118">
        <f>'NABIDKA DOPRAVCE'!$J31*'Vypocty indexu'!K39*'Cenova nabidka NAFTA'!$F27</f>
        <v>0</v>
      </c>
      <c r="L87" s="118">
        <f>'NABIDKA DOPRAVCE'!$J31*'Vypocty indexu'!L39*'Cenova nabidka NAFTA'!$F27</f>
        <v>0</v>
      </c>
      <c r="M87" s="118">
        <f>'NABIDKA DOPRAVCE'!$J31*'Vypocty indexu'!M39*'Cenova nabidka NAFTA'!$F27</f>
        <v>0</v>
      </c>
      <c r="N87" s="118">
        <f>'NABIDKA DOPRAVCE'!$J31*'Vypocty indexu'!N39*'Cenova nabidka NAFTA'!$F27</f>
        <v>0</v>
      </c>
    </row>
    <row r="88" spans="2:14" ht="12.75" outlineLevel="1">
      <c r="B88" s="67"/>
      <c r="C88" s="47"/>
      <c r="D88" s="193"/>
      <c r="E88" s="118"/>
      <c r="F88" s="118"/>
      <c r="G88" s="118"/>
      <c r="H88" s="118"/>
      <c r="I88" s="118"/>
      <c r="J88" s="118"/>
      <c r="K88" s="118"/>
      <c r="L88" s="118"/>
      <c r="M88" s="118"/>
      <c r="N88" s="118"/>
    </row>
    <row r="89" spans="2:14" ht="12.75" outlineLevel="1">
      <c r="B89" s="56">
        <v>97</v>
      </c>
      <c r="C89" s="47" t="s">
        <v>84</v>
      </c>
      <c r="D89" s="193"/>
      <c r="E89" s="118">
        <f>'NABIDKA DOPRAVCE'!$J33*'Vypocty indexu'!E41*'Cenova nabidka NAFTA'!$F29</f>
        <v>0</v>
      </c>
      <c r="F89" s="118">
        <f>'NABIDKA DOPRAVCE'!$J33*'Vypocty indexu'!F41*'Cenova nabidka NAFTA'!$F29</f>
        <v>0</v>
      </c>
      <c r="G89" s="118">
        <f>'NABIDKA DOPRAVCE'!$J33*'Vypocty indexu'!G41*'Cenova nabidka NAFTA'!$F29</f>
        <v>0</v>
      </c>
      <c r="H89" s="118">
        <f>'NABIDKA DOPRAVCE'!$J33*'Vypocty indexu'!H41*'Cenova nabidka NAFTA'!$F29</f>
        <v>0</v>
      </c>
      <c r="I89" s="118">
        <f>'NABIDKA DOPRAVCE'!$J33*'Vypocty indexu'!I41*'Cenova nabidka NAFTA'!$F29</f>
        <v>0</v>
      </c>
      <c r="J89" s="118">
        <f>'NABIDKA DOPRAVCE'!$J33*'Vypocty indexu'!J41*'Cenova nabidka NAFTA'!$F29</f>
        <v>0</v>
      </c>
      <c r="K89" s="118">
        <f>'NABIDKA DOPRAVCE'!$J33*'Vypocty indexu'!K41*'Cenova nabidka NAFTA'!$F29</f>
        <v>0</v>
      </c>
      <c r="L89" s="118">
        <f>'NABIDKA DOPRAVCE'!$J33*'Vypocty indexu'!L41*'Cenova nabidka NAFTA'!$F29</f>
        <v>0</v>
      </c>
      <c r="M89" s="118">
        <f>'NABIDKA DOPRAVCE'!$J33*'Vypocty indexu'!M41*'Cenova nabidka NAFTA'!$F29</f>
        <v>0</v>
      </c>
      <c r="N89" s="118">
        <f>'NABIDKA DOPRAVCE'!$J33*'Vypocty indexu'!N41*'Cenova nabidka NAFTA'!$F29</f>
        <v>0</v>
      </c>
    </row>
    <row r="90" spans="2:14" ht="12.75" outlineLevel="1">
      <c r="B90" s="56">
        <v>98</v>
      </c>
      <c r="C90" s="47" t="s">
        <v>44</v>
      </c>
      <c r="D90" s="193"/>
      <c r="E90" s="118">
        <f>'NABIDKA DOPRAVCE'!$J34*'Vypocty indexu'!E42*'Cenova nabidka NAFTA'!$F30</f>
        <v>0</v>
      </c>
      <c r="F90" s="118">
        <f>'NABIDKA DOPRAVCE'!$J34*'Vypocty indexu'!F42*'Cenova nabidka NAFTA'!$F30</f>
        <v>0</v>
      </c>
      <c r="G90" s="118">
        <f>'NABIDKA DOPRAVCE'!$J34*'Vypocty indexu'!G42*'Cenova nabidka NAFTA'!$F30</f>
        <v>0</v>
      </c>
      <c r="H90" s="118">
        <f>'NABIDKA DOPRAVCE'!$J34*'Vypocty indexu'!H42*'Cenova nabidka NAFTA'!$F30</f>
        <v>0</v>
      </c>
      <c r="I90" s="118">
        <f>'NABIDKA DOPRAVCE'!$J34*'Vypocty indexu'!I42*'Cenova nabidka NAFTA'!$F30</f>
        <v>0</v>
      </c>
      <c r="J90" s="118">
        <f>'NABIDKA DOPRAVCE'!$J34*'Vypocty indexu'!J42*'Cenova nabidka NAFTA'!$F30</f>
        <v>0</v>
      </c>
      <c r="K90" s="118">
        <f>'NABIDKA DOPRAVCE'!$J34*'Vypocty indexu'!K42*'Cenova nabidka NAFTA'!$F30</f>
        <v>0</v>
      </c>
      <c r="L90" s="118">
        <f>'NABIDKA DOPRAVCE'!$J34*'Vypocty indexu'!L42*'Cenova nabidka NAFTA'!$F30</f>
        <v>0</v>
      </c>
      <c r="M90" s="118">
        <f>'NABIDKA DOPRAVCE'!$J34*'Vypocty indexu'!M42*'Cenova nabidka NAFTA'!$F30</f>
        <v>0</v>
      </c>
      <c r="N90" s="118">
        <f>'NABIDKA DOPRAVCE'!$J34*'Vypocty indexu'!N42*'Cenova nabidka NAFTA'!$F30</f>
        <v>0</v>
      </c>
    </row>
    <row r="91" spans="2:14" ht="12.75" outlineLevel="1">
      <c r="B91" s="56">
        <v>99</v>
      </c>
      <c r="C91" s="47" t="s">
        <v>226</v>
      </c>
      <c r="D91" s="193"/>
      <c r="E91" s="749" t="s">
        <v>228</v>
      </c>
      <c r="F91" s="750"/>
      <c r="G91" s="750"/>
      <c r="H91" s="750"/>
      <c r="I91" s="750"/>
      <c r="J91" s="750"/>
      <c r="K91" s="750"/>
      <c r="L91" s="750"/>
      <c r="M91" s="750"/>
      <c r="N91" s="751"/>
    </row>
    <row r="92" spans="2:14" ht="12.75">
      <c r="B92" s="56"/>
      <c r="C92" s="63" t="s">
        <v>107</v>
      </c>
      <c r="D92" s="28"/>
      <c r="E92" s="119">
        <f aca="true" t="shared" si="3" ref="E92:N92">ROUND(SUM(E67:E90),2)</f>
        <v>0.03</v>
      </c>
      <c r="F92" s="119">
        <f t="shared" si="3"/>
        <v>0</v>
      </c>
      <c r="G92" s="119">
        <f t="shared" si="3"/>
        <v>0</v>
      </c>
      <c r="H92" s="119">
        <f t="shared" si="3"/>
        <v>0</v>
      </c>
      <c r="I92" s="119">
        <f t="shared" si="3"/>
        <v>0</v>
      </c>
      <c r="J92" s="119">
        <f t="shared" si="3"/>
        <v>0</v>
      </c>
      <c r="K92" s="119">
        <f t="shared" si="3"/>
        <v>0</v>
      </c>
      <c r="L92" s="119">
        <f t="shared" si="3"/>
        <v>0</v>
      </c>
      <c r="M92" s="119">
        <f t="shared" si="3"/>
        <v>0</v>
      </c>
      <c r="N92" s="119">
        <f t="shared" si="3"/>
        <v>0</v>
      </c>
    </row>
    <row r="93" spans="5:15" s="54" customFormat="1" ht="12.75" customHeight="1">
      <c r="E93" s="117"/>
      <c r="F93" s="117"/>
      <c r="G93" s="117"/>
      <c r="H93" s="117"/>
      <c r="I93" s="117"/>
      <c r="J93" s="117"/>
      <c r="K93" s="117"/>
      <c r="L93" s="117"/>
      <c r="M93" s="117"/>
      <c r="N93" s="117"/>
      <c r="O93" s="116"/>
    </row>
    <row r="94" s="9" customFormat="1" ht="12.75" customHeight="1" hidden="1">
      <c r="O94" s="88"/>
    </row>
    <row r="95" s="9" customFormat="1" ht="12.75" customHeight="1" hidden="1">
      <c r="O95" s="88"/>
    </row>
    <row r="96" s="9" customFormat="1" ht="12.75" customHeight="1" hidden="1">
      <c r="O96" s="88"/>
    </row>
    <row r="97" s="9" customFormat="1" ht="12.75" customHeight="1" hidden="1">
      <c r="O97" s="88"/>
    </row>
    <row r="98" s="9" customFormat="1" ht="12.75" customHeight="1" hidden="1">
      <c r="O98" s="88"/>
    </row>
    <row r="99" s="9" customFormat="1" ht="12.75" customHeight="1" hidden="1">
      <c r="O99" s="88"/>
    </row>
    <row r="100" s="9" customFormat="1" ht="12.75" customHeight="1" hidden="1">
      <c r="O100" s="88"/>
    </row>
    <row r="101" s="9" customFormat="1" ht="12.75" customHeight="1" hidden="1">
      <c r="O101" s="88"/>
    </row>
    <row r="102" s="9" customFormat="1" ht="12.75" customHeight="1" hidden="1">
      <c r="O102" s="88"/>
    </row>
    <row r="103" s="9" customFormat="1" ht="12.75" customHeight="1" hidden="1">
      <c r="O103" s="88"/>
    </row>
    <row r="104" s="9" customFormat="1" ht="12.75" customHeight="1" hidden="1">
      <c r="O104" s="88"/>
    </row>
    <row r="105" s="9" customFormat="1" ht="12.75" customHeight="1" hidden="1">
      <c r="O105" s="88"/>
    </row>
    <row r="106" s="9" customFormat="1" ht="12.75" customHeight="1" hidden="1">
      <c r="O106" s="88"/>
    </row>
    <row r="107" s="9" customFormat="1" ht="12.75" customHeight="1" hidden="1">
      <c r="O107" s="88"/>
    </row>
    <row r="108" s="9" customFormat="1" ht="12.75" customHeight="1" hidden="1">
      <c r="O108" s="88"/>
    </row>
    <row r="109" s="9" customFormat="1" ht="12.75" customHeight="1" hidden="1">
      <c r="O109" s="88"/>
    </row>
    <row r="110" s="9" customFormat="1" ht="12.75" customHeight="1" hidden="1">
      <c r="O110" s="88"/>
    </row>
    <row r="111" s="9" customFormat="1" ht="12.75" customHeight="1" hidden="1">
      <c r="O111" s="88"/>
    </row>
    <row r="112" s="9" customFormat="1" ht="12.75" customHeight="1" hidden="1">
      <c r="O112" s="88"/>
    </row>
    <row r="113" s="9" customFormat="1" ht="12.75" customHeight="1" hidden="1">
      <c r="O113" s="88"/>
    </row>
    <row r="114" s="9" customFormat="1" ht="12.75" customHeight="1" hidden="1">
      <c r="O114" s="88"/>
    </row>
    <row r="115" s="9" customFormat="1" ht="12.75" customHeight="1" hidden="1">
      <c r="O115" s="88"/>
    </row>
    <row r="116" s="9" customFormat="1" ht="12.75" customHeight="1" hidden="1">
      <c r="O116" s="88"/>
    </row>
    <row r="117" s="9" customFormat="1" ht="12.75" customHeight="1" hidden="1">
      <c r="O117" s="88"/>
    </row>
    <row r="118" ht="12.75" customHeight="1" hidden="1"/>
    <row r="119" ht="12.75" customHeight="1" hidden="1"/>
    <row r="120" ht="12.75" customHeight="1" hidden="1"/>
    <row r="121" ht="12.75" customHeight="1" hidden="1"/>
    <row r="122" ht="12.75" customHeight="1" hidden="1"/>
    <row r="123" ht="12.75" customHeight="1" hidden="1"/>
    <row r="124" ht="12.75" customHeight="1" hidden="1"/>
  </sheetData>
  <sheetProtection password="EEFD" sheet="1" scenarios="1" formatRows="0"/>
  <mergeCells count="2">
    <mergeCell ref="E91:N91"/>
    <mergeCell ref="E62:N62"/>
  </mergeCells>
  <conditionalFormatting sqref="E33:N33">
    <cfRule type="expression" priority="2" dxfId="0">
      <formula>OR(E33&lt;SH,E33&gt;HH)</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43" r:id="rId1"/>
  <headerFooter>
    <oddHeader>&amp;C&amp;F</oddHeader>
    <oddFooter>&amp;C&amp;A</oddFooter>
  </headerFooter>
  <rowBreaks count="2" manualBreakCount="2">
    <brk id="34" max="16383" man="1"/>
    <brk id="6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7C1FF"/>
    <pageSetUpPr fitToPage="1"/>
  </sheetPr>
  <dimension ref="B2:O117"/>
  <sheetViews>
    <sheetView zoomScaleSheetLayoutView="100" workbookViewId="0" topLeftCell="A1"/>
  </sheetViews>
  <sheetFormatPr defaultColWidth="0" defaultRowHeight="12.75" customHeight="1" zeroHeight="1" outlineLevelRow="1"/>
  <cols>
    <col min="1" max="1" width="4.7109375" style="10" customWidth="1"/>
    <col min="2" max="2" width="9.140625" style="10" customWidth="1"/>
    <col min="3" max="4" width="24.28125" style="10" customWidth="1"/>
    <col min="5" max="14" width="9.140625" style="10" customWidth="1"/>
    <col min="15" max="15" width="4.7109375" style="50" customWidth="1"/>
    <col min="16" max="16384" width="9.140625" style="10" hidden="1" customWidth="1"/>
  </cols>
  <sheetData>
    <row r="1" ht="12.75" customHeight="1"/>
    <row r="2" spans="2:5" ht="12.75" customHeight="1">
      <c r="B2" s="11" t="s">
        <v>118</v>
      </c>
      <c r="E2" s="11" t="s">
        <v>108</v>
      </c>
    </row>
    <row r="3" ht="12.75" customHeight="1"/>
    <row r="4" spans="5:14" ht="12.75" customHeight="1">
      <c r="E4" s="183" t="s">
        <v>131</v>
      </c>
      <c r="F4" s="184"/>
      <c r="G4" s="184"/>
      <c r="H4" s="184"/>
      <c r="I4" s="184"/>
      <c r="J4" s="184"/>
      <c r="K4" s="184"/>
      <c r="L4" s="184"/>
      <c r="M4" s="184"/>
      <c r="N4" s="185"/>
    </row>
    <row r="5" spans="5:14" ht="12.75" customHeight="1">
      <c r="E5" s="22">
        <f>VR</f>
        <v>1</v>
      </c>
      <c r="F5" s="58">
        <f>E5+1</f>
        <v>2</v>
      </c>
      <c r="G5" s="58">
        <f aca="true" t="shared" si="0" ref="G5:N5">F5+1</f>
        <v>3</v>
      </c>
      <c r="H5" s="58">
        <f t="shared" si="0"/>
        <v>4</v>
      </c>
      <c r="I5" s="58">
        <f t="shared" si="0"/>
        <v>5</v>
      </c>
      <c r="J5" s="58">
        <f t="shared" si="0"/>
        <v>6</v>
      </c>
      <c r="K5" s="58">
        <f t="shared" si="0"/>
        <v>7</v>
      </c>
      <c r="L5" s="58">
        <f t="shared" si="0"/>
        <v>8</v>
      </c>
      <c r="M5" s="58">
        <f t="shared" si="0"/>
        <v>9</v>
      </c>
      <c r="N5" s="58">
        <f t="shared" si="0"/>
        <v>10</v>
      </c>
    </row>
    <row r="6" spans="2:14" ht="12.75">
      <c r="B6" s="11" t="str">
        <f>'Beh smlouvy'!B12</f>
        <v>Cena za Vozokm (bez přejezdů)</v>
      </c>
      <c r="D6" s="54"/>
      <c r="E6" s="194"/>
      <c r="F6" s="99"/>
      <c r="G6" s="99"/>
      <c r="H6" s="99"/>
      <c r="I6" s="99"/>
      <c r="J6" s="99"/>
      <c r="K6" s="99"/>
      <c r="L6" s="99"/>
      <c r="M6" s="99"/>
      <c r="N6" s="100"/>
    </row>
    <row r="7" spans="2:14" ht="12.75" outlineLevel="1">
      <c r="B7" s="53" t="s">
        <v>35</v>
      </c>
      <c r="C7" s="53" t="s">
        <v>65</v>
      </c>
      <c r="D7" s="54"/>
      <c r="E7" s="84"/>
      <c r="F7" s="186"/>
      <c r="G7" s="186"/>
      <c r="H7" s="186"/>
      <c r="I7" s="186"/>
      <c r="J7" s="186"/>
      <c r="K7" s="186"/>
      <c r="L7" s="186"/>
      <c r="M7" s="186"/>
      <c r="N7" s="195"/>
    </row>
    <row r="8" spans="2:14" ht="12.75" outlineLevel="1">
      <c r="B8" s="56" t="s">
        <v>22</v>
      </c>
      <c r="C8" s="47" t="s">
        <v>125</v>
      </c>
      <c r="D8" s="193"/>
      <c r="E8" s="120">
        <f>'NABIDKA DOPRAVCE'!$K11*'Vypocty indexu'!E19*('Cenova nabidka CNG'!$F7+IF(OR(E$33&lt;SH,E$33&gt;HH),'Cenova nabidka CNG'!$G7*1/(1+E$33)*IF(NaPoVo=0,0,'Beh smlouvy'!D$8/NaPoVo)+'Cenova nabidka CNG'!$H7*1/(1+E$33),'Cenova nabidka CNG'!$G7+'Cenova nabidka CNG'!$H7))</f>
        <v>0</v>
      </c>
      <c r="F8" s="120">
        <f>'NABIDKA DOPRAVCE'!$K11*'Vypocty indexu'!F19*('Cenova nabidka CNG'!$F7+IF(OR(F$33&lt;SH,F$33&gt;HH),'Cenova nabidka CNG'!$G7*1/(1+F$33)*IF(NaPoVo=0,0,'Beh smlouvy'!E$8/NaPoVo)+'Cenova nabidka CNG'!$H7*1/(1+F$33),'Cenova nabidka CNG'!$G7+'Cenova nabidka CNG'!$H7))</f>
        <v>0</v>
      </c>
      <c r="G8" s="120">
        <f>'NABIDKA DOPRAVCE'!$K11*'Vypocty indexu'!G19*('Cenova nabidka CNG'!$F7+IF(OR(G$33&lt;SH,G$33&gt;HH),'Cenova nabidka CNG'!$G7*1/(1+G$33)*IF(NaPoVo=0,0,'Beh smlouvy'!F$8/NaPoVo)+'Cenova nabidka CNG'!$H7*1/(1+G$33),'Cenova nabidka CNG'!$G7+'Cenova nabidka CNG'!$H7))</f>
        <v>0</v>
      </c>
      <c r="H8" s="120">
        <f>'NABIDKA DOPRAVCE'!$K11*'Vypocty indexu'!H19*('Cenova nabidka CNG'!$F7+IF(OR(H$33&lt;SH,H$33&gt;HH),'Cenova nabidka CNG'!$G7*1/(1+H$33)*IF(NaPoVo=0,0,'Beh smlouvy'!G$8/NaPoVo)+'Cenova nabidka CNG'!$H7*1/(1+H$33),'Cenova nabidka CNG'!$G7+'Cenova nabidka CNG'!$H7))</f>
        <v>0</v>
      </c>
      <c r="I8" s="120">
        <f>'NABIDKA DOPRAVCE'!$K11*'Vypocty indexu'!I19*('Cenova nabidka CNG'!$F7+IF(OR(I$33&lt;SH,I$33&gt;HH),'Cenova nabidka CNG'!$G7*1/(1+I$33)*IF(NaPoVo=0,0,'Beh smlouvy'!H$8/NaPoVo)+'Cenova nabidka CNG'!$H7*1/(1+I$33),'Cenova nabidka CNG'!$G7+'Cenova nabidka CNG'!$H7))</f>
        <v>0</v>
      </c>
      <c r="J8" s="120">
        <f>'NABIDKA DOPRAVCE'!$K11*'Vypocty indexu'!J19*('Cenova nabidka CNG'!$F7+IF(OR(J$33&lt;SH,J$33&gt;HH),'Cenova nabidka CNG'!$G7*1/(1+J$33)*IF(NaPoVo=0,0,'Beh smlouvy'!I$8/NaPoVo)+'Cenova nabidka CNG'!$H7*1/(1+J$33),'Cenova nabidka CNG'!$G7+'Cenova nabidka CNG'!$H7))</f>
        <v>0</v>
      </c>
      <c r="K8" s="120">
        <f>'NABIDKA DOPRAVCE'!$K11*'Vypocty indexu'!K19*('Cenova nabidka CNG'!$F7+IF(OR(K$33&lt;SH,K$33&gt;HH),'Cenova nabidka CNG'!$G7*1/(1+K$33)*IF(NaPoVo=0,0,'Beh smlouvy'!J$8/NaPoVo)+'Cenova nabidka CNG'!$H7*1/(1+K$33),'Cenova nabidka CNG'!$G7+'Cenova nabidka CNG'!$H7))</f>
        <v>0</v>
      </c>
      <c r="L8" s="120">
        <f>'NABIDKA DOPRAVCE'!$K11*'Vypocty indexu'!L19*('Cenova nabidka CNG'!$F7+IF(OR(L$33&lt;SH,L$33&gt;HH),'Cenova nabidka CNG'!$G7*1/(1+L$33)*IF(NaPoVo=0,0,'Beh smlouvy'!K$8/NaPoVo)+'Cenova nabidka CNG'!$H7*1/(1+L$33),'Cenova nabidka CNG'!$G7+'Cenova nabidka CNG'!$H7))</f>
        <v>0</v>
      </c>
      <c r="M8" s="120">
        <f>'NABIDKA DOPRAVCE'!$K11*'Vypocty indexu'!M19*('Cenova nabidka CNG'!$F7+IF(OR(M$33&lt;SH,M$33&gt;HH),'Cenova nabidka CNG'!$G7*1/(1+M$33)*IF(NaPoVo=0,0,'Beh smlouvy'!L$8/NaPoVo)+'Cenova nabidka CNG'!$H7*1/(1+M$33),'Cenova nabidka CNG'!$G7+'Cenova nabidka CNG'!$H7))</f>
        <v>0</v>
      </c>
      <c r="N8" s="120">
        <f>'NABIDKA DOPRAVCE'!$K11*'Vypocty indexu'!N19*('Cenova nabidka CNG'!$F7+IF(OR(N$33&lt;SH,N$33&gt;HH),'Cenova nabidka CNG'!$G7*1/(1+N$33)*IF(NaPoVo=0,0,'Beh smlouvy'!M$8/NaPoVo)+'Cenova nabidka CNG'!$H7*1/(1+N$33),'Cenova nabidka CNG'!$G7+'Cenova nabidka CNG'!$H7))</f>
        <v>0</v>
      </c>
    </row>
    <row r="9" spans="2:14" ht="12.75" outlineLevel="1">
      <c r="B9" s="56" t="s">
        <v>23</v>
      </c>
      <c r="C9" s="47" t="s">
        <v>126</v>
      </c>
      <c r="D9" s="193"/>
      <c r="E9" s="120">
        <f>'NABIDKA DOPRAVCE'!$K12*'Vypocty indexu'!E20*('Cenova nabidka CNG'!$F8+IF(OR(E$33&lt;SH,E$33&gt;HH),'Cenova nabidka CNG'!$G8*1/(1+E$33)*IF(NaPoVo=0,0,'Beh smlouvy'!D$8/NaPoVo)+'Cenova nabidka CNG'!$H8*1/(1+E$33),'Cenova nabidka CNG'!$G8+'Cenova nabidka CNG'!$H8))</f>
        <v>6.166</v>
      </c>
      <c r="F9" s="120">
        <f>'NABIDKA DOPRAVCE'!$K12*'Vypocty indexu'!F20*('Cenova nabidka CNG'!$F8+IF(OR(F$33&lt;SH,F$33&gt;HH),'Cenova nabidka CNG'!$G8*1/(1+F$33)*IF(NaPoVo=0,0,'Beh smlouvy'!E$8/NaPoVo)+'Cenova nabidka CNG'!$H8*1/(1+F$33),'Cenova nabidka CNG'!$G8+'Cenova nabidka CNG'!$H8))</f>
        <v>0</v>
      </c>
      <c r="G9" s="120">
        <f>'NABIDKA DOPRAVCE'!$K12*'Vypocty indexu'!G20*('Cenova nabidka CNG'!$F8+IF(OR(G$33&lt;SH,G$33&gt;HH),'Cenova nabidka CNG'!$G8*1/(1+G$33)*IF(NaPoVo=0,0,'Beh smlouvy'!F$8/NaPoVo)+'Cenova nabidka CNG'!$H8*1/(1+G$33),'Cenova nabidka CNG'!$G8+'Cenova nabidka CNG'!$H8))</f>
        <v>0</v>
      </c>
      <c r="H9" s="120">
        <f>'NABIDKA DOPRAVCE'!$K12*'Vypocty indexu'!H20*('Cenova nabidka CNG'!$F8+IF(OR(H$33&lt;SH,H$33&gt;HH),'Cenova nabidka CNG'!$G8*1/(1+H$33)*IF(NaPoVo=0,0,'Beh smlouvy'!G$8/NaPoVo)+'Cenova nabidka CNG'!$H8*1/(1+H$33),'Cenova nabidka CNG'!$G8+'Cenova nabidka CNG'!$H8))</f>
        <v>0</v>
      </c>
      <c r="I9" s="120">
        <f>'NABIDKA DOPRAVCE'!$K12*'Vypocty indexu'!I20*('Cenova nabidka CNG'!$F8+IF(OR(I$33&lt;SH,I$33&gt;HH),'Cenova nabidka CNG'!$G8*1/(1+I$33)*IF(NaPoVo=0,0,'Beh smlouvy'!H$8/NaPoVo)+'Cenova nabidka CNG'!$H8*1/(1+I$33),'Cenova nabidka CNG'!$G8+'Cenova nabidka CNG'!$H8))</f>
        <v>0</v>
      </c>
      <c r="J9" s="120">
        <f>'NABIDKA DOPRAVCE'!$K12*'Vypocty indexu'!J20*('Cenova nabidka CNG'!$F8+IF(OR(J$33&lt;SH,J$33&gt;HH),'Cenova nabidka CNG'!$G8*1/(1+J$33)*IF(NaPoVo=0,0,'Beh smlouvy'!I$8/NaPoVo)+'Cenova nabidka CNG'!$H8*1/(1+J$33),'Cenova nabidka CNG'!$G8+'Cenova nabidka CNG'!$H8))</f>
        <v>0</v>
      </c>
      <c r="K9" s="120">
        <f>'NABIDKA DOPRAVCE'!$K12*'Vypocty indexu'!K20*('Cenova nabidka CNG'!$F8+IF(OR(K$33&lt;SH,K$33&gt;HH),'Cenova nabidka CNG'!$G8*1/(1+K$33)*IF(NaPoVo=0,0,'Beh smlouvy'!J$8/NaPoVo)+'Cenova nabidka CNG'!$H8*1/(1+K$33),'Cenova nabidka CNG'!$G8+'Cenova nabidka CNG'!$H8))</f>
        <v>0</v>
      </c>
      <c r="L9" s="120">
        <f>'NABIDKA DOPRAVCE'!$K12*'Vypocty indexu'!L20*('Cenova nabidka CNG'!$F8+IF(OR(L$33&lt;SH,L$33&gt;HH),'Cenova nabidka CNG'!$G8*1/(1+L$33)*IF(NaPoVo=0,0,'Beh smlouvy'!K$8/NaPoVo)+'Cenova nabidka CNG'!$H8*1/(1+L$33),'Cenova nabidka CNG'!$G8+'Cenova nabidka CNG'!$H8))</f>
        <v>0</v>
      </c>
      <c r="M9" s="120">
        <f>'NABIDKA DOPRAVCE'!$K12*'Vypocty indexu'!M20*('Cenova nabidka CNG'!$F8+IF(OR(M$33&lt;SH,M$33&gt;HH),'Cenova nabidka CNG'!$G8*1/(1+M$33)*IF(NaPoVo=0,0,'Beh smlouvy'!L$8/NaPoVo)+'Cenova nabidka CNG'!$H8*1/(1+M$33),'Cenova nabidka CNG'!$G8+'Cenova nabidka CNG'!$H8))</f>
        <v>0</v>
      </c>
      <c r="N9" s="120">
        <f>'NABIDKA DOPRAVCE'!$K12*'Vypocty indexu'!N20*('Cenova nabidka CNG'!$F8+IF(OR(N$33&lt;SH,N$33&gt;HH),'Cenova nabidka CNG'!$G8*1/(1+N$33)*IF(NaPoVo=0,0,'Beh smlouvy'!M$8/NaPoVo)+'Cenova nabidka CNG'!$H8*1/(1+N$33),'Cenova nabidka CNG'!$G8+'Cenova nabidka CNG'!$H8))</f>
        <v>0</v>
      </c>
    </row>
    <row r="10" spans="2:14" ht="12.75" outlineLevel="1">
      <c r="B10" s="56" t="s">
        <v>24</v>
      </c>
      <c r="C10" s="47" t="s">
        <v>262</v>
      </c>
      <c r="D10" s="193"/>
      <c r="E10" s="120">
        <f>'NABIDKA DOPRAVCE'!$K13*'Vypocty indexu'!E21*('Cenova nabidka CNG'!$F9+IF(OR(E$33&lt;SH,E$33&gt;HH),'Cenova nabidka CNG'!$G9*1/(1+E$33)*IF(NaPoVo=0,0,'Beh smlouvy'!D$8/NaPoVo)+'Cenova nabidka CNG'!$H9*1/(1+E$33),'Cenova nabidka CNG'!$G9+'Cenova nabidka CNG'!$H9))</f>
        <v>0</v>
      </c>
      <c r="F10" s="120">
        <f>'NABIDKA DOPRAVCE'!$K13*'Vypocty indexu'!F21*('Cenova nabidka CNG'!$F9+IF(OR(F$33&lt;SH,F$33&gt;HH),'Cenova nabidka CNG'!$G9*1/(1+F$33)*IF(NaPoVo=0,0,'Beh smlouvy'!E$8/NaPoVo)+'Cenova nabidka CNG'!$H9*1/(1+F$33),'Cenova nabidka CNG'!$G9+'Cenova nabidka CNG'!$H9))</f>
        <v>0</v>
      </c>
      <c r="G10" s="120">
        <f>'NABIDKA DOPRAVCE'!$K13*'Vypocty indexu'!G21*('Cenova nabidka CNG'!$F9+IF(OR(G$33&lt;SH,G$33&gt;HH),'Cenova nabidka CNG'!$G9*1/(1+G$33)*IF(NaPoVo=0,0,'Beh smlouvy'!F$8/NaPoVo)+'Cenova nabidka CNG'!$H9*1/(1+G$33),'Cenova nabidka CNG'!$G9+'Cenova nabidka CNG'!$H9))</f>
        <v>0</v>
      </c>
      <c r="H10" s="120">
        <f>'NABIDKA DOPRAVCE'!$K13*'Vypocty indexu'!H21*('Cenova nabidka CNG'!$F9+IF(OR(H$33&lt;SH,H$33&gt;HH),'Cenova nabidka CNG'!$G9*1/(1+H$33)*IF(NaPoVo=0,0,'Beh smlouvy'!G$8/NaPoVo)+'Cenova nabidka CNG'!$H9*1/(1+H$33),'Cenova nabidka CNG'!$G9+'Cenova nabidka CNG'!$H9))</f>
        <v>0</v>
      </c>
      <c r="I10" s="120">
        <f>'NABIDKA DOPRAVCE'!$K13*'Vypocty indexu'!I21*('Cenova nabidka CNG'!$F9+IF(OR(I$33&lt;SH,I$33&gt;HH),'Cenova nabidka CNG'!$G9*1/(1+I$33)*IF(NaPoVo=0,0,'Beh smlouvy'!H$8/NaPoVo)+'Cenova nabidka CNG'!$H9*1/(1+I$33),'Cenova nabidka CNG'!$G9+'Cenova nabidka CNG'!$H9))</f>
        <v>0</v>
      </c>
      <c r="J10" s="120">
        <f>'NABIDKA DOPRAVCE'!$K13*'Vypocty indexu'!J21*('Cenova nabidka CNG'!$F9+IF(OR(J$33&lt;SH,J$33&gt;HH),'Cenova nabidka CNG'!$G9*1/(1+J$33)*IF(NaPoVo=0,0,'Beh smlouvy'!I$8/NaPoVo)+'Cenova nabidka CNG'!$H9*1/(1+J$33),'Cenova nabidka CNG'!$G9+'Cenova nabidka CNG'!$H9))</f>
        <v>0</v>
      </c>
      <c r="K10" s="120">
        <f>'NABIDKA DOPRAVCE'!$K13*'Vypocty indexu'!K21*('Cenova nabidka CNG'!$F9+IF(OR(K$33&lt;SH,K$33&gt;HH),'Cenova nabidka CNG'!$G9*1/(1+K$33)*IF(NaPoVo=0,0,'Beh smlouvy'!J$8/NaPoVo)+'Cenova nabidka CNG'!$H9*1/(1+K$33),'Cenova nabidka CNG'!$G9+'Cenova nabidka CNG'!$H9))</f>
        <v>0</v>
      </c>
      <c r="L10" s="120">
        <f>'NABIDKA DOPRAVCE'!$K13*'Vypocty indexu'!L21*('Cenova nabidka CNG'!$F9+IF(OR(L$33&lt;SH,L$33&gt;HH),'Cenova nabidka CNG'!$G9*1/(1+L$33)*IF(NaPoVo=0,0,'Beh smlouvy'!K$8/NaPoVo)+'Cenova nabidka CNG'!$H9*1/(1+L$33),'Cenova nabidka CNG'!$G9+'Cenova nabidka CNG'!$H9))</f>
        <v>0</v>
      </c>
      <c r="M10" s="120">
        <f>'NABIDKA DOPRAVCE'!$K13*'Vypocty indexu'!M21*('Cenova nabidka CNG'!$F9+IF(OR(M$33&lt;SH,M$33&gt;HH),'Cenova nabidka CNG'!$G9*1/(1+M$33)*IF(NaPoVo=0,0,'Beh smlouvy'!L$8/NaPoVo)+'Cenova nabidka CNG'!$H9*1/(1+M$33),'Cenova nabidka CNG'!$G9+'Cenova nabidka CNG'!$H9))</f>
        <v>0</v>
      </c>
      <c r="N10" s="120">
        <f>'NABIDKA DOPRAVCE'!$K13*'Vypocty indexu'!N21*('Cenova nabidka CNG'!$F9+IF(OR(N$33&lt;SH,N$33&gt;HH),'Cenova nabidka CNG'!$G9*1/(1+N$33)*IF(NaPoVo=0,0,'Beh smlouvy'!M$8/NaPoVo)+'Cenova nabidka CNG'!$H9*1/(1+N$33),'Cenova nabidka CNG'!$G9+'Cenova nabidka CNG'!$H9))</f>
        <v>0</v>
      </c>
    </row>
    <row r="11" spans="2:14" ht="12.75" outlineLevel="1">
      <c r="B11" s="56" t="s">
        <v>123</v>
      </c>
      <c r="C11" s="47" t="s">
        <v>127</v>
      </c>
      <c r="D11" s="193"/>
      <c r="E11" s="120">
        <f>'NABIDKA DOPRAVCE'!$K14*'Vypocty indexu'!E22*('Cenova nabidka CNG'!$F10+IF(OR(E$33&lt;SH,E$33&gt;HH),'Cenova nabidka CNG'!$G10*1/(1+E$33)*IF(NaPoVo=0,0,'Beh smlouvy'!D$8/NaPoVo)+'Cenova nabidka CNG'!$H10*1/(1+E$33),'Cenova nabidka CNG'!$G10+'Cenova nabidka CNG'!$H10))</f>
        <v>0.1</v>
      </c>
      <c r="F11" s="120">
        <f>'NABIDKA DOPRAVCE'!$K14*'Vypocty indexu'!F22*('Cenova nabidka CNG'!$F10+IF(OR(F$33&lt;SH,F$33&gt;HH),'Cenova nabidka CNG'!$G10*1/(1+F$33)*IF(NaPoVo=0,0,'Beh smlouvy'!E$8/NaPoVo)+'Cenova nabidka CNG'!$H10*1/(1+F$33),'Cenova nabidka CNG'!$G10+'Cenova nabidka CNG'!$H10))</f>
        <v>0</v>
      </c>
      <c r="G11" s="120">
        <f>'NABIDKA DOPRAVCE'!$K14*'Vypocty indexu'!G22*('Cenova nabidka CNG'!$F10+IF(OR(G$33&lt;SH,G$33&gt;HH),'Cenova nabidka CNG'!$G10*1/(1+G$33)*IF(NaPoVo=0,0,'Beh smlouvy'!F$8/NaPoVo)+'Cenova nabidka CNG'!$H10*1/(1+G$33),'Cenova nabidka CNG'!$G10+'Cenova nabidka CNG'!$H10))</f>
        <v>0</v>
      </c>
      <c r="H11" s="120">
        <f>'NABIDKA DOPRAVCE'!$K14*'Vypocty indexu'!H22*('Cenova nabidka CNG'!$F10+IF(OR(H$33&lt;SH,H$33&gt;HH),'Cenova nabidka CNG'!$G10*1/(1+H$33)*IF(NaPoVo=0,0,'Beh smlouvy'!G$8/NaPoVo)+'Cenova nabidka CNG'!$H10*1/(1+H$33),'Cenova nabidka CNG'!$G10+'Cenova nabidka CNG'!$H10))</f>
        <v>0</v>
      </c>
      <c r="I11" s="120">
        <f>'NABIDKA DOPRAVCE'!$K14*'Vypocty indexu'!I22*('Cenova nabidka CNG'!$F10+IF(OR(I$33&lt;SH,I$33&gt;HH),'Cenova nabidka CNG'!$G10*1/(1+I$33)*IF(NaPoVo=0,0,'Beh smlouvy'!H$8/NaPoVo)+'Cenova nabidka CNG'!$H10*1/(1+I$33),'Cenova nabidka CNG'!$G10+'Cenova nabidka CNG'!$H10))</f>
        <v>0</v>
      </c>
      <c r="J11" s="120">
        <f>'NABIDKA DOPRAVCE'!$K14*'Vypocty indexu'!J22*('Cenova nabidka CNG'!$F10+IF(OR(J$33&lt;SH,J$33&gt;HH),'Cenova nabidka CNG'!$G10*1/(1+J$33)*IF(NaPoVo=0,0,'Beh smlouvy'!I$8/NaPoVo)+'Cenova nabidka CNG'!$H10*1/(1+J$33),'Cenova nabidka CNG'!$G10+'Cenova nabidka CNG'!$H10))</f>
        <v>0</v>
      </c>
      <c r="K11" s="120">
        <f>'NABIDKA DOPRAVCE'!$K14*'Vypocty indexu'!K22*('Cenova nabidka CNG'!$F10+IF(OR(K$33&lt;SH,K$33&gt;HH),'Cenova nabidka CNG'!$G10*1/(1+K$33)*IF(NaPoVo=0,0,'Beh smlouvy'!J$8/NaPoVo)+'Cenova nabidka CNG'!$H10*1/(1+K$33),'Cenova nabidka CNG'!$G10+'Cenova nabidka CNG'!$H10))</f>
        <v>0</v>
      </c>
      <c r="L11" s="120">
        <f>'NABIDKA DOPRAVCE'!$K14*'Vypocty indexu'!L22*('Cenova nabidka CNG'!$F10+IF(OR(L$33&lt;SH,L$33&gt;HH),'Cenova nabidka CNG'!$G10*1/(1+L$33)*IF(NaPoVo=0,0,'Beh smlouvy'!K$8/NaPoVo)+'Cenova nabidka CNG'!$H10*1/(1+L$33),'Cenova nabidka CNG'!$G10+'Cenova nabidka CNG'!$H10))</f>
        <v>0</v>
      </c>
      <c r="M11" s="120">
        <f>'NABIDKA DOPRAVCE'!$K14*'Vypocty indexu'!M22*('Cenova nabidka CNG'!$F10+IF(OR(M$33&lt;SH,M$33&gt;HH),'Cenova nabidka CNG'!$G10*1/(1+M$33)*IF(NaPoVo=0,0,'Beh smlouvy'!L$8/NaPoVo)+'Cenova nabidka CNG'!$H10*1/(1+M$33),'Cenova nabidka CNG'!$G10+'Cenova nabidka CNG'!$H10))</f>
        <v>0</v>
      </c>
      <c r="N11" s="120">
        <f>'NABIDKA DOPRAVCE'!$K14*'Vypocty indexu'!N22*('Cenova nabidka CNG'!$F10+IF(OR(N$33&lt;SH,N$33&gt;HH),'Cenova nabidka CNG'!$G10*1/(1+N$33)*IF(NaPoVo=0,0,'Beh smlouvy'!M$8/NaPoVo)+'Cenova nabidka CNG'!$H10*1/(1+N$33),'Cenova nabidka CNG'!$G10+'Cenova nabidka CNG'!$H10))</f>
        <v>0</v>
      </c>
    </row>
    <row r="12" spans="2:14" ht="12.75" outlineLevel="1">
      <c r="B12" s="56">
        <v>12</v>
      </c>
      <c r="C12" s="47" t="s">
        <v>8</v>
      </c>
      <c r="D12" s="193"/>
      <c r="E12" s="120">
        <f>'NABIDKA DOPRAVCE'!$K15*'Vypocty indexu'!E23*('Cenova nabidka CNG'!$F11+IF(OR(E$33&lt;SH,E$33&gt;HH),'Cenova nabidka CNG'!$G11*1/(1+E$33)*IF(NaPoVo=0,0,'Beh smlouvy'!D$8/NaPoVo)+'Cenova nabidka CNG'!$H11*1/(1+E$33),'Cenova nabidka CNG'!$G11+'Cenova nabidka CNG'!$H11))</f>
        <v>0.7732</v>
      </c>
      <c r="F12" s="120">
        <f>'NABIDKA DOPRAVCE'!$K15*'Vypocty indexu'!F23*('Cenova nabidka CNG'!$F11+IF(OR(F$33&lt;SH,F$33&gt;HH),'Cenova nabidka CNG'!$G11*1/(1+F$33)*IF(NaPoVo=0,0,'Beh smlouvy'!E$8/NaPoVo)+'Cenova nabidka CNG'!$H11*1/(1+F$33),'Cenova nabidka CNG'!$G11+'Cenova nabidka CNG'!$H11))</f>
        <v>0</v>
      </c>
      <c r="G12" s="120">
        <f>'NABIDKA DOPRAVCE'!$K15*'Vypocty indexu'!G23*('Cenova nabidka CNG'!$F11+IF(OR(G$33&lt;SH,G$33&gt;HH),'Cenova nabidka CNG'!$G11*1/(1+G$33)*IF(NaPoVo=0,0,'Beh smlouvy'!F$8/NaPoVo)+'Cenova nabidka CNG'!$H11*1/(1+G$33),'Cenova nabidka CNG'!$G11+'Cenova nabidka CNG'!$H11))</f>
        <v>0</v>
      </c>
      <c r="H12" s="120">
        <f>'NABIDKA DOPRAVCE'!$K15*'Vypocty indexu'!H23*('Cenova nabidka CNG'!$F11+IF(OR(H$33&lt;SH,H$33&gt;HH),'Cenova nabidka CNG'!$G11*1/(1+H$33)*IF(NaPoVo=0,0,'Beh smlouvy'!G$8/NaPoVo)+'Cenova nabidka CNG'!$H11*1/(1+H$33),'Cenova nabidka CNG'!$G11+'Cenova nabidka CNG'!$H11))</f>
        <v>0</v>
      </c>
      <c r="I12" s="120">
        <f>'NABIDKA DOPRAVCE'!$K15*'Vypocty indexu'!I23*('Cenova nabidka CNG'!$F11+IF(OR(I$33&lt;SH,I$33&gt;HH),'Cenova nabidka CNG'!$G11*1/(1+I$33)*IF(NaPoVo=0,0,'Beh smlouvy'!H$8/NaPoVo)+'Cenova nabidka CNG'!$H11*1/(1+I$33),'Cenova nabidka CNG'!$G11+'Cenova nabidka CNG'!$H11))</f>
        <v>0</v>
      </c>
      <c r="J12" s="120">
        <f>'NABIDKA DOPRAVCE'!$K15*'Vypocty indexu'!J23*('Cenova nabidka CNG'!$F11+IF(OR(J$33&lt;SH,J$33&gt;HH),'Cenova nabidka CNG'!$G11*1/(1+J$33)*IF(NaPoVo=0,0,'Beh smlouvy'!I$8/NaPoVo)+'Cenova nabidka CNG'!$H11*1/(1+J$33),'Cenova nabidka CNG'!$G11+'Cenova nabidka CNG'!$H11))</f>
        <v>0</v>
      </c>
      <c r="K12" s="120">
        <f>'NABIDKA DOPRAVCE'!$K15*'Vypocty indexu'!K23*('Cenova nabidka CNG'!$F11+IF(OR(K$33&lt;SH,K$33&gt;HH),'Cenova nabidka CNG'!$G11*1/(1+K$33)*IF(NaPoVo=0,0,'Beh smlouvy'!J$8/NaPoVo)+'Cenova nabidka CNG'!$H11*1/(1+K$33),'Cenova nabidka CNG'!$G11+'Cenova nabidka CNG'!$H11))</f>
        <v>0</v>
      </c>
      <c r="L12" s="120">
        <f>'NABIDKA DOPRAVCE'!$K15*'Vypocty indexu'!L23*('Cenova nabidka CNG'!$F11+IF(OR(L$33&lt;SH,L$33&gt;HH),'Cenova nabidka CNG'!$G11*1/(1+L$33)*IF(NaPoVo=0,0,'Beh smlouvy'!K$8/NaPoVo)+'Cenova nabidka CNG'!$H11*1/(1+L$33),'Cenova nabidka CNG'!$G11+'Cenova nabidka CNG'!$H11))</f>
        <v>0</v>
      </c>
      <c r="M12" s="120">
        <f>'NABIDKA DOPRAVCE'!$K15*'Vypocty indexu'!M23*('Cenova nabidka CNG'!$F11+IF(OR(M$33&lt;SH,M$33&gt;HH),'Cenova nabidka CNG'!$G11*1/(1+M$33)*IF(NaPoVo=0,0,'Beh smlouvy'!L$8/NaPoVo)+'Cenova nabidka CNG'!$H11*1/(1+M$33),'Cenova nabidka CNG'!$G11+'Cenova nabidka CNG'!$H11))</f>
        <v>0</v>
      </c>
      <c r="N12" s="120">
        <f>'NABIDKA DOPRAVCE'!$K15*'Vypocty indexu'!N23*('Cenova nabidka CNG'!$F11+IF(OR(N$33&lt;SH,N$33&gt;HH),'Cenova nabidka CNG'!$G11*1/(1+N$33)*IF(NaPoVo=0,0,'Beh smlouvy'!M$8/NaPoVo)+'Cenova nabidka CNG'!$H11*1/(1+N$33),'Cenova nabidka CNG'!$G11+'Cenova nabidka CNG'!$H11))</f>
        <v>0</v>
      </c>
    </row>
    <row r="13" spans="2:14" ht="12.75" outlineLevel="1">
      <c r="B13" s="56">
        <v>13</v>
      </c>
      <c r="C13" s="47" t="s">
        <v>9</v>
      </c>
      <c r="D13" s="193"/>
      <c r="E13" s="120">
        <f>'NABIDKA DOPRAVCE'!$K16*'Vypocty indexu'!E24*('Cenova nabidka CNG'!$F12+IF(OR(E$33&lt;SH,E$33&gt;HH),'Cenova nabidka CNG'!$G12*1/(1+E$33)*IF(NaPoVo=0,0,'Beh smlouvy'!D$8/NaPoVo)+'Cenova nabidka CNG'!$H12*1/(1+E$33),'Cenova nabidka CNG'!$G12+'Cenova nabidka CNG'!$H12))</f>
        <v>2.03</v>
      </c>
      <c r="F13" s="120">
        <f>'NABIDKA DOPRAVCE'!$K16*'Vypocty indexu'!F24*('Cenova nabidka CNG'!$F12+IF(OR(F$33&lt;SH,F$33&gt;HH),'Cenova nabidka CNG'!$G12*1/(1+F$33)*IF(NaPoVo=0,0,'Beh smlouvy'!E$8/NaPoVo)+'Cenova nabidka CNG'!$H12*1/(1+F$33),'Cenova nabidka CNG'!$G12+'Cenova nabidka CNG'!$H12))</f>
        <v>0</v>
      </c>
      <c r="G13" s="120">
        <f>'NABIDKA DOPRAVCE'!$K16*'Vypocty indexu'!G24*('Cenova nabidka CNG'!$F12+IF(OR(G$33&lt;SH,G$33&gt;HH),'Cenova nabidka CNG'!$G12*1/(1+G$33)*IF(NaPoVo=0,0,'Beh smlouvy'!F$8/NaPoVo)+'Cenova nabidka CNG'!$H12*1/(1+G$33),'Cenova nabidka CNG'!$G12+'Cenova nabidka CNG'!$H12))</f>
        <v>0</v>
      </c>
      <c r="H13" s="120">
        <f>'NABIDKA DOPRAVCE'!$K16*'Vypocty indexu'!H24*('Cenova nabidka CNG'!$F12+IF(OR(H$33&lt;SH,H$33&gt;HH),'Cenova nabidka CNG'!$G12*1/(1+H$33)*IF(NaPoVo=0,0,'Beh smlouvy'!G$8/NaPoVo)+'Cenova nabidka CNG'!$H12*1/(1+H$33),'Cenova nabidka CNG'!$G12+'Cenova nabidka CNG'!$H12))</f>
        <v>0</v>
      </c>
      <c r="I13" s="120">
        <f>'NABIDKA DOPRAVCE'!$K16*'Vypocty indexu'!I24*('Cenova nabidka CNG'!$F12+IF(OR(I$33&lt;SH,I$33&gt;HH),'Cenova nabidka CNG'!$G12*1/(1+I$33)*IF(NaPoVo=0,0,'Beh smlouvy'!H$8/NaPoVo)+'Cenova nabidka CNG'!$H12*1/(1+I$33),'Cenova nabidka CNG'!$G12+'Cenova nabidka CNG'!$H12))</f>
        <v>0</v>
      </c>
      <c r="J13" s="120">
        <f>'NABIDKA DOPRAVCE'!$K16*'Vypocty indexu'!J24*('Cenova nabidka CNG'!$F12+IF(OR(J$33&lt;SH,J$33&gt;HH),'Cenova nabidka CNG'!$G12*1/(1+J$33)*IF(NaPoVo=0,0,'Beh smlouvy'!I$8/NaPoVo)+'Cenova nabidka CNG'!$H12*1/(1+J$33),'Cenova nabidka CNG'!$G12+'Cenova nabidka CNG'!$H12))</f>
        <v>0</v>
      </c>
      <c r="K13" s="120">
        <f>'NABIDKA DOPRAVCE'!$K16*'Vypocty indexu'!K24*('Cenova nabidka CNG'!$F12+IF(OR(K$33&lt;SH,K$33&gt;HH),'Cenova nabidka CNG'!$G12*1/(1+K$33)*IF(NaPoVo=0,0,'Beh smlouvy'!J$8/NaPoVo)+'Cenova nabidka CNG'!$H12*1/(1+K$33),'Cenova nabidka CNG'!$G12+'Cenova nabidka CNG'!$H12))</f>
        <v>0</v>
      </c>
      <c r="L13" s="120">
        <f>'NABIDKA DOPRAVCE'!$K16*'Vypocty indexu'!L24*('Cenova nabidka CNG'!$F12+IF(OR(L$33&lt;SH,L$33&gt;HH),'Cenova nabidka CNG'!$G12*1/(1+L$33)*IF(NaPoVo=0,0,'Beh smlouvy'!K$8/NaPoVo)+'Cenova nabidka CNG'!$H12*1/(1+L$33),'Cenova nabidka CNG'!$G12+'Cenova nabidka CNG'!$H12))</f>
        <v>0</v>
      </c>
      <c r="M13" s="120">
        <f>'NABIDKA DOPRAVCE'!$K16*'Vypocty indexu'!M24*('Cenova nabidka CNG'!$F12+IF(OR(M$33&lt;SH,M$33&gt;HH),'Cenova nabidka CNG'!$G12*1/(1+M$33)*IF(NaPoVo=0,0,'Beh smlouvy'!L$8/NaPoVo)+'Cenova nabidka CNG'!$H12*1/(1+M$33),'Cenova nabidka CNG'!$G12+'Cenova nabidka CNG'!$H12))</f>
        <v>0</v>
      </c>
      <c r="N13" s="120">
        <f>'NABIDKA DOPRAVCE'!$K16*'Vypocty indexu'!N24*('Cenova nabidka CNG'!$F12+IF(OR(N$33&lt;SH,N$33&gt;HH),'Cenova nabidka CNG'!$G12*1/(1+N$33)*IF(NaPoVo=0,0,'Beh smlouvy'!M$8/NaPoVo)+'Cenova nabidka CNG'!$H12*1/(1+N$33),'Cenova nabidka CNG'!$G12+'Cenova nabidka CNG'!$H12))</f>
        <v>0</v>
      </c>
    </row>
    <row r="14" spans="2:14" ht="12.75" outlineLevel="1">
      <c r="B14" s="56" t="s">
        <v>28</v>
      </c>
      <c r="C14" s="47" t="s">
        <v>59</v>
      </c>
      <c r="D14" s="193"/>
      <c r="E14" s="120">
        <f>'NABIDKA DOPRAVCE'!$K17*'Vypocty indexu'!E25*('Cenova nabidka CNG'!$F13+IF(OR(E$33&lt;SH,E$33&gt;HH),'Cenova nabidka CNG'!$G13*1/(1+E$33)*IF(NaPoVo=0,0,'Beh smlouvy'!D$8/NaPoVo)+'Cenova nabidka CNG'!$H13*1/(1+E$33),'Cenova nabidka CNG'!$G13+'Cenova nabidka CNG'!$H13))</f>
        <v>7.244513079278057</v>
      </c>
      <c r="F14" s="120">
        <f>'NABIDKA DOPRAVCE'!$K17*'Vypocty indexu'!F25*('Cenova nabidka CNG'!$F13+IF(OR(F$33&lt;SH,F$33&gt;HH),'Cenova nabidka CNG'!$G13*1/(1+F$33)*IF(NaPoVo=0,0,'Beh smlouvy'!E$8/NaPoVo)+'Cenova nabidka CNG'!$H13*1/(1+F$33),'Cenova nabidka CNG'!$G13+'Cenova nabidka CNG'!$H13))</f>
        <v>0</v>
      </c>
      <c r="G14" s="120">
        <f>'NABIDKA DOPRAVCE'!$K17*'Vypocty indexu'!G25*('Cenova nabidka CNG'!$F13+IF(OR(G$33&lt;SH,G$33&gt;HH),'Cenova nabidka CNG'!$G13*1/(1+G$33)*IF(NaPoVo=0,0,'Beh smlouvy'!F$8/NaPoVo)+'Cenova nabidka CNG'!$H13*1/(1+G$33),'Cenova nabidka CNG'!$G13+'Cenova nabidka CNG'!$H13))</f>
        <v>0</v>
      </c>
      <c r="H14" s="120">
        <f>'NABIDKA DOPRAVCE'!$K17*'Vypocty indexu'!H25*('Cenova nabidka CNG'!$F13+IF(OR(H$33&lt;SH,H$33&gt;HH),'Cenova nabidka CNG'!$G13*1/(1+H$33)*IF(NaPoVo=0,0,'Beh smlouvy'!G$8/NaPoVo)+'Cenova nabidka CNG'!$H13*1/(1+H$33),'Cenova nabidka CNG'!$G13+'Cenova nabidka CNG'!$H13))</f>
        <v>0</v>
      </c>
      <c r="I14" s="120">
        <f>'NABIDKA DOPRAVCE'!$K17*'Vypocty indexu'!I25*('Cenova nabidka CNG'!$F13+IF(OR(I$33&lt;SH,I$33&gt;HH),'Cenova nabidka CNG'!$G13*1/(1+I$33)*IF(NaPoVo=0,0,'Beh smlouvy'!H$8/NaPoVo)+'Cenova nabidka CNG'!$H13*1/(1+I$33),'Cenova nabidka CNG'!$G13+'Cenova nabidka CNG'!$H13))</f>
        <v>0</v>
      </c>
      <c r="J14" s="120">
        <f>'NABIDKA DOPRAVCE'!$K17*'Vypocty indexu'!J25*('Cenova nabidka CNG'!$F13+IF(OR(J$33&lt;SH,J$33&gt;HH),'Cenova nabidka CNG'!$G13*1/(1+J$33)*IF(NaPoVo=0,0,'Beh smlouvy'!I$8/NaPoVo)+'Cenova nabidka CNG'!$H13*1/(1+J$33),'Cenova nabidka CNG'!$G13+'Cenova nabidka CNG'!$H13))</f>
        <v>0</v>
      </c>
      <c r="K14" s="120">
        <f>'NABIDKA DOPRAVCE'!$K17*'Vypocty indexu'!K25*('Cenova nabidka CNG'!$F13+IF(OR(K$33&lt;SH,K$33&gt;HH),'Cenova nabidka CNG'!$G13*1/(1+K$33)*IF(NaPoVo=0,0,'Beh smlouvy'!J$8/NaPoVo)+'Cenova nabidka CNG'!$H13*1/(1+K$33),'Cenova nabidka CNG'!$G13+'Cenova nabidka CNG'!$H13))</f>
        <v>0</v>
      </c>
      <c r="L14" s="120">
        <f>'NABIDKA DOPRAVCE'!$K17*'Vypocty indexu'!L25*('Cenova nabidka CNG'!$F13+IF(OR(L$33&lt;SH,L$33&gt;HH),'Cenova nabidka CNG'!$G13*1/(1+L$33)*IF(NaPoVo=0,0,'Beh smlouvy'!K$8/NaPoVo)+'Cenova nabidka CNG'!$H13*1/(1+L$33),'Cenova nabidka CNG'!$G13+'Cenova nabidka CNG'!$H13))</f>
        <v>0</v>
      </c>
      <c r="M14" s="120">
        <f>'NABIDKA DOPRAVCE'!$K17*'Vypocty indexu'!M25*('Cenova nabidka CNG'!$F13+IF(OR(M$33&lt;SH,M$33&gt;HH),'Cenova nabidka CNG'!$G13*1/(1+M$33)*IF(NaPoVo=0,0,'Beh smlouvy'!L$8/NaPoVo)+'Cenova nabidka CNG'!$H13*1/(1+M$33),'Cenova nabidka CNG'!$G13+'Cenova nabidka CNG'!$H13))</f>
        <v>0</v>
      </c>
      <c r="N14" s="120">
        <f>'NABIDKA DOPRAVCE'!$K17*'Vypocty indexu'!N25*('Cenova nabidka CNG'!$F13+IF(OR(N$33&lt;SH,N$33&gt;HH),'Cenova nabidka CNG'!$G13*1/(1+N$33)*IF(NaPoVo=0,0,'Beh smlouvy'!M$8/NaPoVo)+'Cenova nabidka CNG'!$H13*1/(1+N$33),'Cenova nabidka CNG'!$G13+'Cenova nabidka CNG'!$H13))</f>
        <v>0</v>
      </c>
    </row>
    <row r="15" spans="2:14" ht="12.75" outlineLevel="1">
      <c r="B15" s="56" t="s">
        <v>29</v>
      </c>
      <c r="C15" s="47" t="s">
        <v>60</v>
      </c>
      <c r="D15" s="193"/>
      <c r="E15" s="120">
        <f>'NABIDKA DOPRAVCE'!$K18*'Vypocty indexu'!E26*('Cenova nabidka CNG'!$F14+IF(OR(E$33&lt;SH,E$33&gt;HH),'Cenova nabidka CNG'!$G14*1/(1+E$33)*IF(NaPoVo=0,0,'Beh smlouvy'!D$8/NaPoVo)+'Cenova nabidka CNG'!$H14*1/(1+E$33),'Cenova nabidka CNG'!$G14+'Cenova nabidka CNG'!$H14))</f>
        <v>0.07608223264610665</v>
      </c>
      <c r="F15" s="120">
        <f>'NABIDKA DOPRAVCE'!$K18*'Vypocty indexu'!F26*('Cenova nabidka CNG'!$F14+IF(OR(F$33&lt;SH,F$33&gt;HH),'Cenova nabidka CNG'!$G14*1/(1+F$33)*IF(NaPoVo=0,0,'Beh smlouvy'!E$8/NaPoVo)+'Cenova nabidka CNG'!$H14*1/(1+F$33),'Cenova nabidka CNG'!$G14+'Cenova nabidka CNG'!$H14))</f>
        <v>0</v>
      </c>
      <c r="G15" s="120">
        <f>'NABIDKA DOPRAVCE'!$K18*'Vypocty indexu'!G26*('Cenova nabidka CNG'!$F14+IF(OR(G$33&lt;SH,G$33&gt;HH),'Cenova nabidka CNG'!$G14*1/(1+G$33)*IF(NaPoVo=0,0,'Beh smlouvy'!F$8/NaPoVo)+'Cenova nabidka CNG'!$H14*1/(1+G$33),'Cenova nabidka CNG'!$G14+'Cenova nabidka CNG'!$H14))</f>
        <v>0</v>
      </c>
      <c r="H15" s="120">
        <f>'NABIDKA DOPRAVCE'!$K18*'Vypocty indexu'!H26*('Cenova nabidka CNG'!$F14+IF(OR(H$33&lt;SH,H$33&gt;HH),'Cenova nabidka CNG'!$G14*1/(1+H$33)*IF(NaPoVo=0,0,'Beh smlouvy'!G$8/NaPoVo)+'Cenova nabidka CNG'!$H14*1/(1+H$33),'Cenova nabidka CNG'!$G14+'Cenova nabidka CNG'!$H14))</f>
        <v>0</v>
      </c>
      <c r="I15" s="120">
        <f>'NABIDKA DOPRAVCE'!$K18*'Vypocty indexu'!I26*('Cenova nabidka CNG'!$F14+IF(OR(I$33&lt;SH,I$33&gt;HH),'Cenova nabidka CNG'!$G14*1/(1+I$33)*IF(NaPoVo=0,0,'Beh smlouvy'!H$8/NaPoVo)+'Cenova nabidka CNG'!$H14*1/(1+I$33),'Cenova nabidka CNG'!$G14+'Cenova nabidka CNG'!$H14))</f>
        <v>0</v>
      </c>
      <c r="J15" s="120">
        <f>'NABIDKA DOPRAVCE'!$K18*'Vypocty indexu'!J26*('Cenova nabidka CNG'!$F14+IF(OR(J$33&lt;SH,J$33&gt;HH),'Cenova nabidka CNG'!$G14*1/(1+J$33)*IF(NaPoVo=0,0,'Beh smlouvy'!I$8/NaPoVo)+'Cenova nabidka CNG'!$H14*1/(1+J$33),'Cenova nabidka CNG'!$G14+'Cenova nabidka CNG'!$H14))</f>
        <v>0</v>
      </c>
      <c r="K15" s="120">
        <f>'NABIDKA DOPRAVCE'!$K18*'Vypocty indexu'!K26*('Cenova nabidka CNG'!$F14+IF(OR(K$33&lt;SH,K$33&gt;HH),'Cenova nabidka CNG'!$G14*1/(1+K$33)*IF(NaPoVo=0,0,'Beh smlouvy'!J$8/NaPoVo)+'Cenova nabidka CNG'!$H14*1/(1+K$33),'Cenova nabidka CNG'!$G14+'Cenova nabidka CNG'!$H14))</f>
        <v>0</v>
      </c>
      <c r="L15" s="120">
        <f>'NABIDKA DOPRAVCE'!$K18*'Vypocty indexu'!L26*('Cenova nabidka CNG'!$F14+IF(OR(L$33&lt;SH,L$33&gt;HH),'Cenova nabidka CNG'!$G14*1/(1+L$33)*IF(NaPoVo=0,0,'Beh smlouvy'!K$8/NaPoVo)+'Cenova nabidka CNG'!$H14*1/(1+L$33),'Cenova nabidka CNG'!$G14+'Cenova nabidka CNG'!$H14))</f>
        <v>0</v>
      </c>
      <c r="M15" s="120">
        <f>'NABIDKA DOPRAVCE'!$K18*'Vypocty indexu'!M26*('Cenova nabidka CNG'!$F14+IF(OR(M$33&lt;SH,M$33&gt;HH),'Cenova nabidka CNG'!$G14*1/(1+M$33)*IF(NaPoVo=0,0,'Beh smlouvy'!L$8/NaPoVo)+'Cenova nabidka CNG'!$H14*1/(1+M$33),'Cenova nabidka CNG'!$G14+'Cenova nabidka CNG'!$H14))</f>
        <v>0</v>
      </c>
      <c r="N15" s="120">
        <f>'NABIDKA DOPRAVCE'!$K18*'Vypocty indexu'!N26*('Cenova nabidka CNG'!$F14+IF(OR(N$33&lt;SH,N$33&gt;HH),'Cenova nabidka CNG'!$G14*1/(1+N$33)*IF(NaPoVo=0,0,'Beh smlouvy'!M$8/NaPoVo)+'Cenova nabidka CNG'!$H14*1/(1+N$33),'Cenova nabidka CNG'!$G14+'Cenova nabidka CNG'!$H14))</f>
        <v>0</v>
      </c>
    </row>
    <row r="16" spans="2:14" ht="12.75" outlineLevel="1">
      <c r="B16" s="56">
        <v>15</v>
      </c>
      <c r="C16" s="47" t="s">
        <v>42</v>
      </c>
      <c r="D16" s="193"/>
      <c r="E16" s="120">
        <f>'NABIDKA DOPRAVCE'!$K19*'Vypocty indexu'!E27*('Cenova nabidka CNG'!$F15+IF(OR(E$33&lt;SH,E$33&gt;HH),'Cenova nabidka CNG'!$G15*1/(1+E$33)*IF(NaPoVo=0,0,'Beh smlouvy'!D$8/NaPoVo)+'Cenova nabidka CNG'!$H15*1/(1+E$33),'Cenova nabidka CNG'!$G15+'Cenova nabidka CNG'!$H15))</f>
        <v>0</v>
      </c>
      <c r="F16" s="120">
        <f>'NABIDKA DOPRAVCE'!$K19*'Vypocty indexu'!F27*('Cenova nabidka CNG'!$F15+IF(OR(F$33&lt;SH,F$33&gt;HH),'Cenova nabidka CNG'!$G15*1/(1+F$33)*IF(NaPoVo=0,0,'Beh smlouvy'!E$8/NaPoVo)+'Cenova nabidka CNG'!$H15*1/(1+F$33),'Cenova nabidka CNG'!$G15+'Cenova nabidka CNG'!$H15))</f>
        <v>0</v>
      </c>
      <c r="G16" s="120">
        <f>'NABIDKA DOPRAVCE'!$K19*'Vypocty indexu'!G27*('Cenova nabidka CNG'!$F15+IF(OR(G$33&lt;SH,G$33&gt;HH),'Cenova nabidka CNG'!$G15*1/(1+G$33)*IF(NaPoVo=0,0,'Beh smlouvy'!F$8/NaPoVo)+'Cenova nabidka CNG'!$H15*1/(1+G$33),'Cenova nabidka CNG'!$G15+'Cenova nabidka CNG'!$H15))</f>
        <v>0</v>
      </c>
      <c r="H16" s="120">
        <f>'NABIDKA DOPRAVCE'!$K19*'Vypocty indexu'!H27*('Cenova nabidka CNG'!$F15+IF(OR(H$33&lt;SH,H$33&gt;HH),'Cenova nabidka CNG'!$G15*1/(1+H$33)*IF(NaPoVo=0,0,'Beh smlouvy'!G$8/NaPoVo)+'Cenova nabidka CNG'!$H15*1/(1+H$33),'Cenova nabidka CNG'!$G15+'Cenova nabidka CNG'!$H15))</f>
        <v>0</v>
      </c>
      <c r="I16" s="120">
        <f>'NABIDKA DOPRAVCE'!$K19*'Vypocty indexu'!I27*('Cenova nabidka CNG'!$F15+IF(OR(I$33&lt;SH,I$33&gt;HH),'Cenova nabidka CNG'!$G15*1/(1+I$33)*IF(NaPoVo=0,0,'Beh smlouvy'!H$8/NaPoVo)+'Cenova nabidka CNG'!$H15*1/(1+I$33),'Cenova nabidka CNG'!$G15+'Cenova nabidka CNG'!$H15))</f>
        <v>0</v>
      </c>
      <c r="J16" s="120">
        <f>'NABIDKA DOPRAVCE'!$K19*'Vypocty indexu'!J27*('Cenova nabidka CNG'!$F15+IF(OR(J$33&lt;SH,J$33&gt;HH),'Cenova nabidka CNG'!$G15*1/(1+J$33)*IF(NaPoVo=0,0,'Beh smlouvy'!I$8/NaPoVo)+'Cenova nabidka CNG'!$H15*1/(1+J$33),'Cenova nabidka CNG'!$G15+'Cenova nabidka CNG'!$H15))</f>
        <v>0</v>
      </c>
      <c r="K16" s="120">
        <f>'NABIDKA DOPRAVCE'!$K19*'Vypocty indexu'!K27*('Cenova nabidka CNG'!$F15+IF(OR(K$33&lt;SH,K$33&gt;HH),'Cenova nabidka CNG'!$G15*1/(1+K$33)*IF(NaPoVo=0,0,'Beh smlouvy'!J$8/NaPoVo)+'Cenova nabidka CNG'!$H15*1/(1+K$33),'Cenova nabidka CNG'!$G15+'Cenova nabidka CNG'!$H15))</f>
        <v>0</v>
      </c>
      <c r="L16" s="120">
        <f>'NABIDKA DOPRAVCE'!$K19*'Vypocty indexu'!L27*('Cenova nabidka CNG'!$F15+IF(OR(L$33&lt;SH,L$33&gt;HH),'Cenova nabidka CNG'!$G15*1/(1+L$33)*IF(NaPoVo=0,0,'Beh smlouvy'!K$8/NaPoVo)+'Cenova nabidka CNG'!$H15*1/(1+L$33),'Cenova nabidka CNG'!$G15+'Cenova nabidka CNG'!$H15))</f>
        <v>0</v>
      </c>
      <c r="M16" s="120">
        <f>'NABIDKA DOPRAVCE'!$K19*'Vypocty indexu'!M27*('Cenova nabidka CNG'!$F15+IF(OR(M$33&lt;SH,M$33&gt;HH),'Cenova nabidka CNG'!$G15*1/(1+M$33)*IF(NaPoVo=0,0,'Beh smlouvy'!L$8/NaPoVo)+'Cenova nabidka CNG'!$H15*1/(1+M$33),'Cenova nabidka CNG'!$G15+'Cenova nabidka CNG'!$H15))</f>
        <v>0</v>
      </c>
      <c r="N16" s="120">
        <f>'NABIDKA DOPRAVCE'!$K19*'Vypocty indexu'!N27*('Cenova nabidka CNG'!$F15+IF(OR(N$33&lt;SH,N$33&gt;HH),'Cenova nabidka CNG'!$G15*1/(1+N$33)*IF(NaPoVo=0,0,'Beh smlouvy'!M$8/NaPoVo)+'Cenova nabidka CNG'!$H15*1/(1+N$33),'Cenova nabidka CNG'!$G15+'Cenova nabidka CNG'!$H15))</f>
        <v>0</v>
      </c>
    </row>
    <row r="17" spans="2:14" ht="12.75" outlineLevel="1">
      <c r="B17" s="56" t="s">
        <v>30</v>
      </c>
      <c r="C17" s="47" t="s">
        <v>61</v>
      </c>
      <c r="D17" s="193"/>
      <c r="E17" s="120">
        <f>'NABIDKA DOPRAVCE'!$K20*'Vypocty indexu'!E28*('Cenova nabidka CNG'!$F16+IF(OR(E$33&lt;SH,E$33&gt;HH),'Cenova nabidka CNG'!$G16*1/(1+E$33)*IF(NaPoVo=0,0,'Beh smlouvy'!D$8/NaPoVo)+'Cenova nabidka CNG'!$H16*1/(1+E$33),'Cenova nabidka CNG'!$G16+'Cenova nabidka CNG'!$H16))</f>
        <v>6.145959866436713</v>
      </c>
      <c r="F17" s="120">
        <f>'NABIDKA DOPRAVCE'!$K20*'Vypocty indexu'!F28*('Cenova nabidka CNG'!$F16+IF(OR(F$33&lt;SH,F$33&gt;HH),'Cenova nabidka CNG'!$G16*1/(1+F$33)*IF(NaPoVo=0,0,'Beh smlouvy'!E$8/NaPoVo)+'Cenova nabidka CNG'!$H16*1/(1+F$33),'Cenova nabidka CNG'!$G16+'Cenova nabidka CNG'!$H16))</f>
        <v>0</v>
      </c>
      <c r="G17" s="120">
        <f>'NABIDKA DOPRAVCE'!$K20*'Vypocty indexu'!G28*('Cenova nabidka CNG'!$F16+IF(OR(G$33&lt;SH,G$33&gt;HH),'Cenova nabidka CNG'!$G16*1/(1+G$33)*IF(NaPoVo=0,0,'Beh smlouvy'!F$8/NaPoVo)+'Cenova nabidka CNG'!$H16*1/(1+G$33),'Cenova nabidka CNG'!$G16+'Cenova nabidka CNG'!$H16))</f>
        <v>0</v>
      </c>
      <c r="H17" s="120">
        <f>'NABIDKA DOPRAVCE'!$K20*'Vypocty indexu'!H28*('Cenova nabidka CNG'!$F16+IF(OR(H$33&lt;SH,H$33&gt;HH),'Cenova nabidka CNG'!$G16*1/(1+H$33)*IF(NaPoVo=0,0,'Beh smlouvy'!G$8/NaPoVo)+'Cenova nabidka CNG'!$H16*1/(1+H$33),'Cenova nabidka CNG'!$G16+'Cenova nabidka CNG'!$H16))</f>
        <v>0</v>
      </c>
      <c r="I17" s="120">
        <f>'NABIDKA DOPRAVCE'!$K20*'Vypocty indexu'!I28*('Cenova nabidka CNG'!$F16+IF(OR(I$33&lt;SH,I$33&gt;HH),'Cenova nabidka CNG'!$G16*1/(1+I$33)*IF(NaPoVo=0,0,'Beh smlouvy'!H$8/NaPoVo)+'Cenova nabidka CNG'!$H16*1/(1+I$33),'Cenova nabidka CNG'!$G16+'Cenova nabidka CNG'!$H16))</f>
        <v>0</v>
      </c>
      <c r="J17" s="120">
        <f>'NABIDKA DOPRAVCE'!$K20*'Vypocty indexu'!J28*('Cenova nabidka CNG'!$F16+IF(OR(J$33&lt;SH,J$33&gt;HH),'Cenova nabidka CNG'!$G16*1/(1+J$33)*IF(NaPoVo=0,0,'Beh smlouvy'!I$8/NaPoVo)+'Cenova nabidka CNG'!$H16*1/(1+J$33),'Cenova nabidka CNG'!$G16+'Cenova nabidka CNG'!$H16))</f>
        <v>0</v>
      </c>
      <c r="K17" s="120">
        <f>'NABIDKA DOPRAVCE'!$K20*'Vypocty indexu'!K28*('Cenova nabidka CNG'!$F16+IF(OR(K$33&lt;SH,K$33&gt;HH),'Cenova nabidka CNG'!$G16*1/(1+K$33)*IF(NaPoVo=0,0,'Beh smlouvy'!J$8/NaPoVo)+'Cenova nabidka CNG'!$H16*1/(1+K$33),'Cenova nabidka CNG'!$G16+'Cenova nabidka CNG'!$H16))</f>
        <v>0</v>
      </c>
      <c r="L17" s="120">
        <f>'NABIDKA DOPRAVCE'!$K20*'Vypocty indexu'!L28*('Cenova nabidka CNG'!$F16+IF(OR(L$33&lt;SH,L$33&gt;HH),'Cenova nabidka CNG'!$G16*1/(1+L$33)*IF(NaPoVo=0,0,'Beh smlouvy'!K$8/NaPoVo)+'Cenova nabidka CNG'!$H16*1/(1+L$33),'Cenova nabidka CNG'!$G16+'Cenova nabidka CNG'!$H16))</f>
        <v>0</v>
      </c>
      <c r="M17" s="120">
        <f>'NABIDKA DOPRAVCE'!$K20*'Vypocty indexu'!M28*('Cenova nabidka CNG'!$F16+IF(OR(M$33&lt;SH,M$33&gt;HH),'Cenova nabidka CNG'!$G16*1/(1+M$33)*IF(NaPoVo=0,0,'Beh smlouvy'!L$8/NaPoVo)+'Cenova nabidka CNG'!$H16*1/(1+M$33),'Cenova nabidka CNG'!$G16+'Cenova nabidka CNG'!$H16))</f>
        <v>0</v>
      </c>
      <c r="N17" s="120">
        <f>'NABIDKA DOPRAVCE'!$K20*'Vypocty indexu'!N28*('Cenova nabidka CNG'!$F16+IF(OR(N$33&lt;SH,N$33&gt;HH),'Cenova nabidka CNG'!$G16*1/(1+N$33)*IF(NaPoVo=0,0,'Beh smlouvy'!M$8/NaPoVo)+'Cenova nabidka CNG'!$H16*1/(1+N$33),'Cenova nabidka CNG'!$G16+'Cenova nabidka CNG'!$H16))</f>
        <v>0</v>
      </c>
    </row>
    <row r="18" spans="2:14" ht="12.75" outlineLevel="1">
      <c r="B18" s="56" t="s">
        <v>31</v>
      </c>
      <c r="C18" s="47" t="s">
        <v>62</v>
      </c>
      <c r="D18" s="193"/>
      <c r="E18" s="120">
        <f>'NABIDKA DOPRAVCE'!$K21*'Vypocty indexu'!E29*('Cenova nabidka CNG'!$F17+IF(OR(E$33&lt;SH,E$33&gt;HH),'Cenova nabidka CNG'!$G17*1/(1+E$33)*IF(NaPoVo=0,0,'Beh smlouvy'!D$8/NaPoVo)+'Cenova nabidka CNG'!$H17*1/(1+E$33),'Cenova nabidka CNG'!$G17+'Cenova nabidka CNG'!$H17))</f>
        <v>0.222679705305678</v>
      </c>
      <c r="F18" s="120">
        <f>'NABIDKA DOPRAVCE'!$K21*'Vypocty indexu'!F29*('Cenova nabidka CNG'!$F17+IF(OR(F$33&lt;SH,F$33&gt;HH),'Cenova nabidka CNG'!$G17*1/(1+F$33)*IF(NaPoVo=0,0,'Beh smlouvy'!E$8/NaPoVo)+'Cenova nabidka CNG'!$H17*1/(1+F$33),'Cenova nabidka CNG'!$G17+'Cenova nabidka CNG'!$H17))</f>
        <v>0</v>
      </c>
      <c r="G18" s="120">
        <f>'NABIDKA DOPRAVCE'!$K21*'Vypocty indexu'!G29*('Cenova nabidka CNG'!$F17+IF(OR(G$33&lt;SH,G$33&gt;HH),'Cenova nabidka CNG'!$G17*1/(1+G$33)*IF(NaPoVo=0,0,'Beh smlouvy'!F$8/NaPoVo)+'Cenova nabidka CNG'!$H17*1/(1+G$33),'Cenova nabidka CNG'!$G17+'Cenova nabidka CNG'!$H17))</f>
        <v>0</v>
      </c>
      <c r="H18" s="120">
        <f>'NABIDKA DOPRAVCE'!$K21*'Vypocty indexu'!H29*('Cenova nabidka CNG'!$F17+IF(OR(H$33&lt;SH,H$33&gt;HH),'Cenova nabidka CNG'!$G17*1/(1+H$33)*IF(NaPoVo=0,0,'Beh smlouvy'!G$8/NaPoVo)+'Cenova nabidka CNG'!$H17*1/(1+H$33),'Cenova nabidka CNG'!$G17+'Cenova nabidka CNG'!$H17))</f>
        <v>0</v>
      </c>
      <c r="I18" s="120">
        <f>'NABIDKA DOPRAVCE'!$K21*'Vypocty indexu'!I29*('Cenova nabidka CNG'!$F17+IF(OR(I$33&lt;SH,I$33&gt;HH),'Cenova nabidka CNG'!$G17*1/(1+I$33)*IF(NaPoVo=0,0,'Beh smlouvy'!H$8/NaPoVo)+'Cenova nabidka CNG'!$H17*1/(1+I$33),'Cenova nabidka CNG'!$G17+'Cenova nabidka CNG'!$H17))</f>
        <v>0</v>
      </c>
      <c r="J18" s="120">
        <f>'NABIDKA DOPRAVCE'!$K21*'Vypocty indexu'!J29*('Cenova nabidka CNG'!$F17+IF(OR(J$33&lt;SH,J$33&gt;HH),'Cenova nabidka CNG'!$G17*1/(1+J$33)*IF(NaPoVo=0,0,'Beh smlouvy'!I$8/NaPoVo)+'Cenova nabidka CNG'!$H17*1/(1+J$33),'Cenova nabidka CNG'!$G17+'Cenova nabidka CNG'!$H17))</f>
        <v>0</v>
      </c>
      <c r="K18" s="120">
        <f>'NABIDKA DOPRAVCE'!$K21*'Vypocty indexu'!K29*('Cenova nabidka CNG'!$F17+IF(OR(K$33&lt;SH,K$33&gt;HH),'Cenova nabidka CNG'!$G17*1/(1+K$33)*IF(NaPoVo=0,0,'Beh smlouvy'!J$8/NaPoVo)+'Cenova nabidka CNG'!$H17*1/(1+K$33),'Cenova nabidka CNG'!$G17+'Cenova nabidka CNG'!$H17))</f>
        <v>0</v>
      </c>
      <c r="L18" s="120">
        <f>'NABIDKA DOPRAVCE'!$K21*'Vypocty indexu'!L29*('Cenova nabidka CNG'!$F17+IF(OR(L$33&lt;SH,L$33&gt;HH),'Cenova nabidka CNG'!$G17*1/(1+L$33)*IF(NaPoVo=0,0,'Beh smlouvy'!K$8/NaPoVo)+'Cenova nabidka CNG'!$H17*1/(1+L$33),'Cenova nabidka CNG'!$G17+'Cenova nabidka CNG'!$H17))</f>
        <v>0</v>
      </c>
      <c r="M18" s="120">
        <f>'NABIDKA DOPRAVCE'!$K21*'Vypocty indexu'!M29*('Cenova nabidka CNG'!$F17+IF(OR(M$33&lt;SH,M$33&gt;HH),'Cenova nabidka CNG'!$G17*1/(1+M$33)*IF(NaPoVo=0,0,'Beh smlouvy'!L$8/NaPoVo)+'Cenova nabidka CNG'!$H17*1/(1+M$33),'Cenova nabidka CNG'!$G17+'Cenova nabidka CNG'!$H17))</f>
        <v>0</v>
      </c>
      <c r="N18" s="120">
        <f>'NABIDKA DOPRAVCE'!$K21*'Vypocty indexu'!N29*('Cenova nabidka CNG'!$F17+IF(OR(N$33&lt;SH,N$33&gt;HH),'Cenova nabidka CNG'!$G17*1/(1+N$33)*IF(NaPoVo=0,0,'Beh smlouvy'!M$8/NaPoVo)+'Cenova nabidka CNG'!$H17*1/(1+N$33),'Cenova nabidka CNG'!$G17+'Cenova nabidka CNG'!$H17))</f>
        <v>0</v>
      </c>
    </row>
    <row r="19" spans="2:14" ht="12.75" outlineLevel="1">
      <c r="B19" s="56" t="s">
        <v>40</v>
      </c>
      <c r="C19" s="47" t="s">
        <v>63</v>
      </c>
      <c r="D19" s="193"/>
      <c r="E19" s="120">
        <f>'NABIDKA DOPRAVCE'!$K22*'Vypocty indexu'!E30*('Cenova nabidka CNG'!$F18+IF(OR(E$33&lt;SH,E$33&gt;HH),'Cenova nabidka CNG'!$G18*1/(1+E$33)*IF(NaPoVo=0,0,'Beh smlouvy'!D$8/NaPoVo)+'Cenova nabidka CNG'!$H18*1/(1+E$33),'Cenova nabidka CNG'!$G18+'Cenova nabidka CNG'!$H18))</f>
        <v>2.0896263545884826</v>
      </c>
      <c r="F19" s="120">
        <f>'NABIDKA DOPRAVCE'!$K22*'Vypocty indexu'!F30*('Cenova nabidka CNG'!$F18+IF(OR(F$33&lt;SH,F$33&gt;HH),'Cenova nabidka CNG'!$G18*1/(1+F$33)*IF(NaPoVo=0,0,'Beh smlouvy'!E$8/NaPoVo)+'Cenova nabidka CNG'!$H18*1/(1+F$33),'Cenova nabidka CNG'!$G18+'Cenova nabidka CNG'!$H18))</f>
        <v>0</v>
      </c>
      <c r="G19" s="120">
        <f>'NABIDKA DOPRAVCE'!$K22*'Vypocty indexu'!G30*('Cenova nabidka CNG'!$F18+IF(OR(G$33&lt;SH,G$33&gt;HH),'Cenova nabidka CNG'!$G18*1/(1+G$33)*IF(NaPoVo=0,0,'Beh smlouvy'!F$8/NaPoVo)+'Cenova nabidka CNG'!$H18*1/(1+G$33),'Cenova nabidka CNG'!$G18+'Cenova nabidka CNG'!$H18))</f>
        <v>0</v>
      </c>
      <c r="H19" s="120">
        <f>'NABIDKA DOPRAVCE'!$K22*'Vypocty indexu'!H30*('Cenova nabidka CNG'!$F18+IF(OR(H$33&lt;SH,H$33&gt;HH),'Cenova nabidka CNG'!$G18*1/(1+H$33)*IF(NaPoVo=0,0,'Beh smlouvy'!G$8/NaPoVo)+'Cenova nabidka CNG'!$H18*1/(1+H$33),'Cenova nabidka CNG'!$G18+'Cenova nabidka CNG'!$H18))</f>
        <v>0</v>
      </c>
      <c r="I19" s="120">
        <f>'NABIDKA DOPRAVCE'!$K22*'Vypocty indexu'!I30*('Cenova nabidka CNG'!$F18+IF(OR(I$33&lt;SH,I$33&gt;HH),'Cenova nabidka CNG'!$G18*1/(1+I$33)*IF(NaPoVo=0,0,'Beh smlouvy'!H$8/NaPoVo)+'Cenova nabidka CNG'!$H18*1/(1+I$33),'Cenova nabidka CNG'!$G18+'Cenova nabidka CNG'!$H18))</f>
        <v>0</v>
      </c>
      <c r="J19" s="120">
        <f>'NABIDKA DOPRAVCE'!$K22*'Vypocty indexu'!J30*('Cenova nabidka CNG'!$F18+IF(OR(J$33&lt;SH,J$33&gt;HH),'Cenova nabidka CNG'!$G18*1/(1+J$33)*IF(NaPoVo=0,0,'Beh smlouvy'!I$8/NaPoVo)+'Cenova nabidka CNG'!$H18*1/(1+J$33),'Cenova nabidka CNG'!$G18+'Cenova nabidka CNG'!$H18))</f>
        <v>0</v>
      </c>
      <c r="K19" s="120">
        <f>'NABIDKA DOPRAVCE'!$K22*'Vypocty indexu'!K30*('Cenova nabidka CNG'!$F18+IF(OR(K$33&lt;SH,K$33&gt;HH),'Cenova nabidka CNG'!$G18*1/(1+K$33)*IF(NaPoVo=0,0,'Beh smlouvy'!J$8/NaPoVo)+'Cenova nabidka CNG'!$H18*1/(1+K$33),'Cenova nabidka CNG'!$G18+'Cenova nabidka CNG'!$H18))</f>
        <v>0</v>
      </c>
      <c r="L19" s="120">
        <f>'NABIDKA DOPRAVCE'!$K22*'Vypocty indexu'!L30*('Cenova nabidka CNG'!$F18+IF(OR(L$33&lt;SH,L$33&gt;HH),'Cenova nabidka CNG'!$G18*1/(1+L$33)*IF(NaPoVo=0,0,'Beh smlouvy'!K$8/NaPoVo)+'Cenova nabidka CNG'!$H18*1/(1+L$33),'Cenova nabidka CNG'!$G18+'Cenova nabidka CNG'!$H18))</f>
        <v>0</v>
      </c>
      <c r="M19" s="120">
        <f>'NABIDKA DOPRAVCE'!$K22*'Vypocty indexu'!M30*('Cenova nabidka CNG'!$F18+IF(OR(M$33&lt;SH,M$33&gt;HH),'Cenova nabidka CNG'!$G18*1/(1+M$33)*IF(NaPoVo=0,0,'Beh smlouvy'!L$8/NaPoVo)+'Cenova nabidka CNG'!$H18*1/(1+M$33),'Cenova nabidka CNG'!$G18+'Cenova nabidka CNG'!$H18))</f>
        <v>0</v>
      </c>
      <c r="N19" s="120">
        <f>'NABIDKA DOPRAVCE'!$K22*'Vypocty indexu'!N30*('Cenova nabidka CNG'!$F18+IF(OR(N$33&lt;SH,N$33&gt;HH),'Cenova nabidka CNG'!$G18*1/(1+N$33)*IF(NaPoVo=0,0,'Beh smlouvy'!M$8/NaPoVo)+'Cenova nabidka CNG'!$H18*1/(1+N$33),'Cenova nabidka CNG'!$G18+'Cenova nabidka CNG'!$H18))</f>
        <v>0</v>
      </c>
    </row>
    <row r="20" spans="2:14" ht="12.75" outlineLevel="1">
      <c r="B20" s="56" t="s">
        <v>41</v>
      </c>
      <c r="C20" s="47" t="s">
        <v>64</v>
      </c>
      <c r="D20" s="193"/>
      <c r="E20" s="120">
        <f>'NABIDKA DOPRAVCE'!$K23*'Vypocty indexu'!E31*('Cenova nabidka CNG'!$F19+IF(OR(E$33&lt;SH,E$33&gt;HH),'Cenova nabidka CNG'!$G19*1/(1+E$33)*IF(NaPoVo=0,0,'Beh smlouvy'!D$8/NaPoVo)+'Cenova nabidka CNG'!$H19*1/(1+E$33),'Cenova nabidka CNG'!$G19+'Cenova nabidka CNG'!$H19))</f>
        <v>0.07571109980393052</v>
      </c>
      <c r="F20" s="120">
        <f>'NABIDKA DOPRAVCE'!$K23*'Vypocty indexu'!F31*('Cenova nabidka CNG'!$F19+IF(OR(F$33&lt;SH,F$33&gt;HH),'Cenova nabidka CNG'!$G19*1/(1+F$33)*IF(NaPoVo=0,0,'Beh smlouvy'!E$8/NaPoVo)+'Cenova nabidka CNG'!$H19*1/(1+F$33),'Cenova nabidka CNG'!$G19+'Cenova nabidka CNG'!$H19))</f>
        <v>0</v>
      </c>
      <c r="G20" s="120">
        <f>'NABIDKA DOPRAVCE'!$K23*'Vypocty indexu'!G31*('Cenova nabidka CNG'!$F19+IF(OR(G$33&lt;SH,G$33&gt;HH),'Cenova nabidka CNG'!$G19*1/(1+G$33)*IF(NaPoVo=0,0,'Beh smlouvy'!F$8/NaPoVo)+'Cenova nabidka CNG'!$H19*1/(1+G$33),'Cenova nabidka CNG'!$G19+'Cenova nabidka CNG'!$H19))</f>
        <v>0</v>
      </c>
      <c r="H20" s="120">
        <f>'NABIDKA DOPRAVCE'!$K23*'Vypocty indexu'!H31*('Cenova nabidka CNG'!$F19+IF(OR(H$33&lt;SH,H$33&gt;HH),'Cenova nabidka CNG'!$G19*1/(1+H$33)*IF(NaPoVo=0,0,'Beh smlouvy'!G$8/NaPoVo)+'Cenova nabidka CNG'!$H19*1/(1+H$33),'Cenova nabidka CNG'!$G19+'Cenova nabidka CNG'!$H19))</f>
        <v>0</v>
      </c>
      <c r="I20" s="120">
        <f>'NABIDKA DOPRAVCE'!$K23*'Vypocty indexu'!I31*('Cenova nabidka CNG'!$F19+IF(OR(I$33&lt;SH,I$33&gt;HH),'Cenova nabidka CNG'!$G19*1/(1+I$33)*IF(NaPoVo=0,0,'Beh smlouvy'!H$8/NaPoVo)+'Cenova nabidka CNG'!$H19*1/(1+I$33),'Cenova nabidka CNG'!$G19+'Cenova nabidka CNG'!$H19))</f>
        <v>0</v>
      </c>
      <c r="J20" s="120">
        <f>'NABIDKA DOPRAVCE'!$K23*'Vypocty indexu'!J31*('Cenova nabidka CNG'!$F19+IF(OR(J$33&lt;SH,J$33&gt;HH),'Cenova nabidka CNG'!$G19*1/(1+J$33)*IF(NaPoVo=0,0,'Beh smlouvy'!I$8/NaPoVo)+'Cenova nabidka CNG'!$H19*1/(1+J$33),'Cenova nabidka CNG'!$G19+'Cenova nabidka CNG'!$H19))</f>
        <v>0</v>
      </c>
      <c r="K20" s="120">
        <f>'NABIDKA DOPRAVCE'!$K23*'Vypocty indexu'!K31*('Cenova nabidka CNG'!$F19+IF(OR(K$33&lt;SH,K$33&gt;HH),'Cenova nabidka CNG'!$G19*1/(1+K$33)*IF(NaPoVo=0,0,'Beh smlouvy'!J$8/NaPoVo)+'Cenova nabidka CNG'!$H19*1/(1+K$33),'Cenova nabidka CNG'!$G19+'Cenova nabidka CNG'!$H19))</f>
        <v>0</v>
      </c>
      <c r="L20" s="120">
        <f>'NABIDKA DOPRAVCE'!$K23*'Vypocty indexu'!L31*('Cenova nabidka CNG'!$F19+IF(OR(L$33&lt;SH,L$33&gt;HH),'Cenova nabidka CNG'!$G19*1/(1+L$33)*IF(NaPoVo=0,0,'Beh smlouvy'!K$8/NaPoVo)+'Cenova nabidka CNG'!$H19*1/(1+L$33),'Cenova nabidka CNG'!$G19+'Cenova nabidka CNG'!$H19))</f>
        <v>0</v>
      </c>
      <c r="M20" s="120">
        <f>'NABIDKA DOPRAVCE'!$K23*'Vypocty indexu'!M31*('Cenova nabidka CNG'!$F19+IF(OR(M$33&lt;SH,M$33&gt;HH),'Cenova nabidka CNG'!$G19*1/(1+M$33)*IF(NaPoVo=0,0,'Beh smlouvy'!L$8/NaPoVo)+'Cenova nabidka CNG'!$H19*1/(1+M$33),'Cenova nabidka CNG'!$G19+'Cenova nabidka CNG'!$H19))</f>
        <v>0</v>
      </c>
      <c r="N20" s="120">
        <f>'NABIDKA DOPRAVCE'!$K23*'Vypocty indexu'!N31*('Cenova nabidka CNG'!$F19+IF(OR(N$33&lt;SH,N$33&gt;HH),'Cenova nabidka CNG'!$G19*1/(1+N$33)*IF(NaPoVo=0,0,'Beh smlouvy'!M$8/NaPoVo)+'Cenova nabidka CNG'!$H19*1/(1+N$33),'Cenova nabidka CNG'!$G19+'Cenova nabidka CNG'!$H19))</f>
        <v>0</v>
      </c>
    </row>
    <row r="21" spans="2:14" ht="12.75" outlineLevel="1">
      <c r="B21" s="56">
        <v>18</v>
      </c>
      <c r="C21" s="47" t="s">
        <v>13</v>
      </c>
      <c r="D21" s="193"/>
      <c r="E21" s="120">
        <f>'NABIDKA DOPRAVCE'!$K24*'Vypocty indexu'!E32*('Cenova nabidka CNG'!$F20+IF(OR(E$33&lt;SH,E$33&gt;HH),'Cenova nabidka CNG'!$G20*1/(1+E$33)*IF(NaPoVo=0,0,'Beh smlouvy'!D$8/NaPoVo)+'Cenova nabidka CNG'!$H20*1/(1+E$33),'Cenova nabidka CNG'!$G20+'Cenova nabidka CNG'!$H20))</f>
        <v>0.424</v>
      </c>
      <c r="F21" s="120">
        <f>'NABIDKA DOPRAVCE'!$K24*'Vypocty indexu'!F32*('Cenova nabidka CNG'!$F20+IF(OR(F$33&lt;SH,F$33&gt;HH),'Cenova nabidka CNG'!$G20*1/(1+F$33)*IF(NaPoVo=0,0,'Beh smlouvy'!E$8/NaPoVo)+'Cenova nabidka CNG'!$H20*1/(1+F$33),'Cenova nabidka CNG'!$G20+'Cenova nabidka CNG'!$H20))</f>
        <v>0</v>
      </c>
      <c r="G21" s="120">
        <f>'NABIDKA DOPRAVCE'!$K24*'Vypocty indexu'!G32*('Cenova nabidka CNG'!$F20+IF(OR(G$33&lt;SH,G$33&gt;HH),'Cenova nabidka CNG'!$G20*1/(1+G$33)*IF(NaPoVo=0,0,'Beh smlouvy'!F$8/NaPoVo)+'Cenova nabidka CNG'!$H20*1/(1+G$33),'Cenova nabidka CNG'!$G20+'Cenova nabidka CNG'!$H20))</f>
        <v>0</v>
      </c>
      <c r="H21" s="120">
        <f>'NABIDKA DOPRAVCE'!$K24*'Vypocty indexu'!H32*('Cenova nabidka CNG'!$F20+IF(OR(H$33&lt;SH,H$33&gt;HH),'Cenova nabidka CNG'!$G20*1/(1+H$33)*IF(NaPoVo=0,0,'Beh smlouvy'!G$8/NaPoVo)+'Cenova nabidka CNG'!$H20*1/(1+H$33),'Cenova nabidka CNG'!$G20+'Cenova nabidka CNG'!$H20))</f>
        <v>0</v>
      </c>
      <c r="I21" s="120">
        <f>'NABIDKA DOPRAVCE'!$K24*'Vypocty indexu'!I32*('Cenova nabidka CNG'!$F20+IF(OR(I$33&lt;SH,I$33&gt;HH),'Cenova nabidka CNG'!$G20*1/(1+I$33)*IF(NaPoVo=0,0,'Beh smlouvy'!H$8/NaPoVo)+'Cenova nabidka CNG'!$H20*1/(1+I$33),'Cenova nabidka CNG'!$G20+'Cenova nabidka CNG'!$H20))</f>
        <v>0</v>
      </c>
      <c r="J21" s="120">
        <f>'NABIDKA DOPRAVCE'!$K24*'Vypocty indexu'!J32*('Cenova nabidka CNG'!$F20+IF(OR(J$33&lt;SH,J$33&gt;HH),'Cenova nabidka CNG'!$G20*1/(1+J$33)*IF(NaPoVo=0,0,'Beh smlouvy'!I$8/NaPoVo)+'Cenova nabidka CNG'!$H20*1/(1+J$33),'Cenova nabidka CNG'!$G20+'Cenova nabidka CNG'!$H20))</f>
        <v>0</v>
      </c>
      <c r="K21" s="120">
        <f>'NABIDKA DOPRAVCE'!$K24*'Vypocty indexu'!K32*('Cenova nabidka CNG'!$F20+IF(OR(K$33&lt;SH,K$33&gt;HH),'Cenova nabidka CNG'!$G20*1/(1+K$33)*IF(NaPoVo=0,0,'Beh smlouvy'!J$8/NaPoVo)+'Cenova nabidka CNG'!$H20*1/(1+K$33),'Cenova nabidka CNG'!$G20+'Cenova nabidka CNG'!$H20))</f>
        <v>0</v>
      </c>
      <c r="L21" s="120">
        <f>'NABIDKA DOPRAVCE'!$K24*'Vypocty indexu'!L32*('Cenova nabidka CNG'!$F20+IF(OR(L$33&lt;SH,L$33&gt;HH),'Cenova nabidka CNG'!$G20*1/(1+L$33)*IF(NaPoVo=0,0,'Beh smlouvy'!K$8/NaPoVo)+'Cenova nabidka CNG'!$H20*1/(1+L$33),'Cenova nabidka CNG'!$G20+'Cenova nabidka CNG'!$H20))</f>
        <v>0</v>
      </c>
      <c r="M21" s="120">
        <f>'NABIDKA DOPRAVCE'!$K24*'Vypocty indexu'!M32*('Cenova nabidka CNG'!$F20+IF(OR(M$33&lt;SH,M$33&gt;HH),'Cenova nabidka CNG'!$G20*1/(1+M$33)*IF(NaPoVo=0,0,'Beh smlouvy'!L$8/NaPoVo)+'Cenova nabidka CNG'!$H20*1/(1+M$33),'Cenova nabidka CNG'!$G20+'Cenova nabidka CNG'!$H20))</f>
        <v>0</v>
      </c>
      <c r="N21" s="120">
        <f>'NABIDKA DOPRAVCE'!$K24*'Vypocty indexu'!N32*('Cenova nabidka CNG'!$F20+IF(OR(N$33&lt;SH,N$33&gt;HH),'Cenova nabidka CNG'!$G20*1/(1+N$33)*IF(NaPoVo=0,0,'Beh smlouvy'!M$8/NaPoVo)+'Cenova nabidka CNG'!$H20*1/(1+N$33),'Cenova nabidka CNG'!$G20+'Cenova nabidka CNG'!$H20))</f>
        <v>0</v>
      </c>
    </row>
    <row r="22" spans="2:14" ht="12.75" outlineLevel="1">
      <c r="B22" s="56">
        <v>19</v>
      </c>
      <c r="C22" s="47" t="s">
        <v>14</v>
      </c>
      <c r="D22" s="193"/>
      <c r="E22" s="120">
        <f>'NABIDKA DOPRAVCE'!$K25*'Vypocty indexu'!E33*('Cenova nabidka CNG'!$F21+IF(OR(E$33&lt;SH,E$33&gt;HH),'Cenova nabidka CNG'!$G21*1/(1+E$33)*IF(NaPoVo=0,0,'Beh smlouvy'!D$8/NaPoVo)+'Cenova nabidka CNG'!$H21*1/(1+E$33),'Cenova nabidka CNG'!$G21+'Cenova nabidka CNG'!$H21))</f>
        <v>0.279834163000802</v>
      </c>
      <c r="F22" s="120">
        <f>'NABIDKA DOPRAVCE'!$K25*'Vypocty indexu'!F33*('Cenova nabidka CNG'!$F21+IF(OR(F$33&lt;SH,F$33&gt;HH),'Cenova nabidka CNG'!$G21*1/(1+F$33)*IF(NaPoVo=0,0,'Beh smlouvy'!E$8/NaPoVo)+'Cenova nabidka CNG'!$H21*1/(1+F$33),'Cenova nabidka CNG'!$G21+'Cenova nabidka CNG'!$H21))</f>
        <v>0</v>
      </c>
      <c r="G22" s="120">
        <f>'NABIDKA DOPRAVCE'!$K25*'Vypocty indexu'!G33*('Cenova nabidka CNG'!$F21+IF(OR(G$33&lt;SH,G$33&gt;HH),'Cenova nabidka CNG'!$G21*1/(1+G$33)*IF(NaPoVo=0,0,'Beh smlouvy'!F$8/NaPoVo)+'Cenova nabidka CNG'!$H21*1/(1+G$33),'Cenova nabidka CNG'!$G21+'Cenova nabidka CNG'!$H21))</f>
        <v>0</v>
      </c>
      <c r="H22" s="120">
        <f>'NABIDKA DOPRAVCE'!$K25*'Vypocty indexu'!H33*('Cenova nabidka CNG'!$F21+IF(OR(H$33&lt;SH,H$33&gt;HH),'Cenova nabidka CNG'!$G21*1/(1+H$33)*IF(NaPoVo=0,0,'Beh smlouvy'!G$8/NaPoVo)+'Cenova nabidka CNG'!$H21*1/(1+H$33),'Cenova nabidka CNG'!$G21+'Cenova nabidka CNG'!$H21))</f>
        <v>0</v>
      </c>
      <c r="I22" s="120">
        <f>'NABIDKA DOPRAVCE'!$K25*'Vypocty indexu'!I33*('Cenova nabidka CNG'!$F21+IF(OR(I$33&lt;SH,I$33&gt;HH),'Cenova nabidka CNG'!$G21*1/(1+I$33)*IF(NaPoVo=0,0,'Beh smlouvy'!H$8/NaPoVo)+'Cenova nabidka CNG'!$H21*1/(1+I$33),'Cenova nabidka CNG'!$G21+'Cenova nabidka CNG'!$H21))</f>
        <v>0</v>
      </c>
      <c r="J22" s="120">
        <f>'NABIDKA DOPRAVCE'!$K25*'Vypocty indexu'!J33*('Cenova nabidka CNG'!$F21+IF(OR(J$33&lt;SH,J$33&gt;HH),'Cenova nabidka CNG'!$G21*1/(1+J$33)*IF(NaPoVo=0,0,'Beh smlouvy'!I$8/NaPoVo)+'Cenova nabidka CNG'!$H21*1/(1+J$33),'Cenova nabidka CNG'!$G21+'Cenova nabidka CNG'!$H21))</f>
        <v>0</v>
      </c>
      <c r="K22" s="120">
        <f>'NABIDKA DOPRAVCE'!$K25*'Vypocty indexu'!K33*('Cenova nabidka CNG'!$F21+IF(OR(K$33&lt;SH,K$33&gt;HH),'Cenova nabidka CNG'!$G21*1/(1+K$33)*IF(NaPoVo=0,0,'Beh smlouvy'!J$8/NaPoVo)+'Cenova nabidka CNG'!$H21*1/(1+K$33),'Cenova nabidka CNG'!$G21+'Cenova nabidka CNG'!$H21))</f>
        <v>0</v>
      </c>
      <c r="L22" s="120">
        <f>'NABIDKA DOPRAVCE'!$K25*'Vypocty indexu'!L33*('Cenova nabidka CNG'!$F21+IF(OR(L$33&lt;SH,L$33&gt;HH),'Cenova nabidka CNG'!$G21*1/(1+L$33)*IF(NaPoVo=0,0,'Beh smlouvy'!K$8/NaPoVo)+'Cenova nabidka CNG'!$H21*1/(1+L$33),'Cenova nabidka CNG'!$G21+'Cenova nabidka CNG'!$H21))</f>
        <v>0</v>
      </c>
      <c r="M22" s="120">
        <f>'NABIDKA DOPRAVCE'!$K25*'Vypocty indexu'!M33*('Cenova nabidka CNG'!$F21+IF(OR(M$33&lt;SH,M$33&gt;HH),'Cenova nabidka CNG'!$G21*1/(1+M$33)*IF(NaPoVo=0,0,'Beh smlouvy'!L$8/NaPoVo)+'Cenova nabidka CNG'!$H21*1/(1+M$33),'Cenova nabidka CNG'!$G21+'Cenova nabidka CNG'!$H21))</f>
        <v>0</v>
      </c>
      <c r="N22" s="120">
        <f>'NABIDKA DOPRAVCE'!$K25*'Vypocty indexu'!N33*('Cenova nabidka CNG'!$F21+IF(OR(N$33&lt;SH,N$33&gt;HH),'Cenova nabidka CNG'!$G21*1/(1+N$33)*IF(NaPoVo=0,0,'Beh smlouvy'!M$8/NaPoVo)+'Cenova nabidka CNG'!$H21*1/(1+N$33),'Cenova nabidka CNG'!$G21+'Cenova nabidka CNG'!$H21))</f>
        <v>0</v>
      </c>
    </row>
    <row r="23" spans="2:14" ht="12.75" outlineLevel="1">
      <c r="B23" s="56">
        <v>20</v>
      </c>
      <c r="C23" s="47" t="s">
        <v>15</v>
      </c>
      <c r="D23" s="193"/>
      <c r="E23" s="120">
        <f>'NABIDKA DOPRAVCE'!$K26*'Vypocty indexu'!E34*('Cenova nabidka CNG'!$F22+IF(OR(E$33&lt;SH,E$33&gt;HH),'Cenova nabidka CNG'!$G22*1/(1+E$33)*IF(NaPoVo=0,0,'Beh smlouvy'!D$8/NaPoVo)+'Cenova nabidka CNG'!$H22*1/(1+E$33),'Cenova nabidka CNG'!$G22+'Cenova nabidka CNG'!$H22))</f>
        <v>0</v>
      </c>
      <c r="F23" s="120">
        <f>'NABIDKA DOPRAVCE'!$K26*'Vypocty indexu'!F34*('Cenova nabidka CNG'!$F22+IF(OR(F$33&lt;SH,F$33&gt;HH),'Cenova nabidka CNG'!$G22*1/(1+F$33)*IF(NaPoVo=0,0,'Beh smlouvy'!E$8/NaPoVo)+'Cenova nabidka CNG'!$H22*1/(1+F$33),'Cenova nabidka CNG'!$G22+'Cenova nabidka CNG'!$H22))</f>
        <v>0</v>
      </c>
      <c r="G23" s="120">
        <f>'NABIDKA DOPRAVCE'!$K26*'Vypocty indexu'!G34*('Cenova nabidka CNG'!$F22+IF(OR(G$33&lt;SH,G$33&gt;HH),'Cenova nabidka CNG'!$G22*1/(1+G$33)*IF(NaPoVo=0,0,'Beh smlouvy'!F$8/NaPoVo)+'Cenova nabidka CNG'!$H22*1/(1+G$33),'Cenova nabidka CNG'!$G22+'Cenova nabidka CNG'!$H22))</f>
        <v>0</v>
      </c>
      <c r="H23" s="120">
        <f>'NABIDKA DOPRAVCE'!$K26*'Vypocty indexu'!H34*('Cenova nabidka CNG'!$F22+IF(OR(H$33&lt;SH,H$33&gt;HH),'Cenova nabidka CNG'!$G22*1/(1+H$33)*IF(NaPoVo=0,0,'Beh smlouvy'!G$8/NaPoVo)+'Cenova nabidka CNG'!$H22*1/(1+H$33),'Cenova nabidka CNG'!$G22+'Cenova nabidka CNG'!$H22))</f>
        <v>0</v>
      </c>
      <c r="I23" s="120">
        <f>'NABIDKA DOPRAVCE'!$K26*'Vypocty indexu'!I34*('Cenova nabidka CNG'!$F22+IF(OR(I$33&lt;SH,I$33&gt;HH),'Cenova nabidka CNG'!$G22*1/(1+I$33)*IF(NaPoVo=0,0,'Beh smlouvy'!H$8/NaPoVo)+'Cenova nabidka CNG'!$H22*1/(1+I$33),'Cenova nabidka CNG'!$G22+'Cenova nabidka CNG'!$H22))</f>
        <v>0</v>
      </c>
      <c r="J23" s="120">
        <f>'NABIDKA DOPRAVCE'!$K26*'Vypocty indexu'!J34*('Cenova nabidka CNG'!$F22+IF(OR(J$33&lt;SH,J$33&gt;HH),'Cenova nabidka CNG'!$G22*1/(1+J$33)*IF(NaPoVo=0,0,'Beh smlouvy'!I$8/NaPoVo)+'Cenova nabidka CNG'!$H22*1/(1+J$33),'Cenova nabidka CNG'!$G22+'Cenova nabidka CNG'!$H22))</f>
        <v>0</v>
      </c>
      <c r="K23" s="120">
        <f>'NABIDKA DOPRAVCE'!$K26*'Vypocty indexu'!K34*('Cenova nabidka CNG'!$F22+IF(OR(K$33&lt;SH,K$33&gt;HH),'Cenova nabidka CNG'!$G22*1/(1+K$33)*IF(NaPoVo=0,0,'Beh smlouvy'!J$8/NaPoVo)+'Cenova nabidka CNG'!$H22*1/(1+K$33),'Cenova nabidka CNG'!$G22+'Cenova nabidka CNG'!$H22))</f>
        <v>0</v>
      </c>
      <c r="L23" s="120">
        <f>'NABIDKA DOPRAVCE'!$K26*'Vypocty indexu'!L34*('Cenova nabidka CNG'!$F22+IF(OR(L$33&lt;SH,L$33&gt;HH),'Cenova nabidka CNG'!$G22*1/(1+L$33)*IF(NaPoVo=0,0,'Beh smlouvy'!K$8/NaPoVo)+'Cenova nabidka CNG'!$H22*1/(1+L$33),'Cenova nabidka CNG'!$G22+'Cenova nabidka CNG'!$H22))</f>
        <v>0</v>
      </c>
      <c r="M23" s="120">
        <f>'NABIDKA DOPRAVCE'!$K26*'Vypocty indexu'!M34*('Cenova nabidka CNG'!$F22+IF(OR(M$33&lt;SH,M$33&gt;HH),'Cenova nabidka CNG'!$G22*1/(1+M$33)*IF(NaPoVo=0,0,'Beh smlouvy'!L$8/NaPoVo)+'Cenova nabidka CNG'!$H22*1/(1+M$33),'Cenova nabidka CNG'!$G22+'Cenova nabidka CNG'!$H22))</f>
        <v>0</v>
      </c>
      <c r="N23" s="120">
        <f>'NABIDKA DOPRAVCE'!$K26*'Vypocty indexu'!N34*('Cenova nabidka CNG'!$F22+IF(OR(N$33&lt;SH,N$33&gt;HH),'Cenova nabidka CNG'!$G22*1/(1+N$33)*IF(NaPoVo=0,0,'Beh smlouvy'!M$8/NaPoVo)+'Cenova nabidka CNG'!$H22*1/(1+N$33),'Cenova nabidka CNG'!$G22+'Cenova nabidka CNG'!$H22))</f>
        <v>0</v>
      </c>
    </row>
    <row r="24" spans="2:14" ht="12.75" outlineLevel="1">
      <c r="B24" s="56">
        <v>21</v>
      </c>
      <c r="C24" s="47" t="s">
        <v>16</v>
      </c>
      <c r="D24" s="193"/>
      <c r="E24" s="120">
        <f>'NABIDKA DOPRAVCE'!$K27*'Vypocty indexu'!E35*('Cenova nabidka CNG'!$F23+IF(OR(E$33&lt;SH,E$33&gt;HH),'Cenova nabidka CNG'!$G23*1/(1+E$33)*IF(NaPoVo=0,0,'Beh smlouvy'!D$8/NaPoVo)+'Cenova nabidka CNG'!$H23*1/(1+E$33),'Cenova nabidka CNG'!$G23+'Cenova nabidka CNG'!$H23))</f>
        <v>0.03196</v>
      </c>
      <c r="F24" s="120">
        <f>'NABIDKA DOPRAVCE'!$K27*'Vypocty indexu'!F35*('Cenova nabidka CNG'!$F23+IF(OR(F$33&lt;SH,F$33&gt;HH),'Cenova nabidka CNG'!$G23*1/(1+F$33)*IF(NaPoVo=0,0,'Beh smlouvy'!E$8/NaPoVo)+'Cenova nabidka CNG'!$H23*1/(1+F$33),'Cenova nabidka CNG'!$G23+'Cenova nabidka CNG'!$H23))</f>
        <v>0</v>
      </c>
      <c r="G24" s="120">
        <f>'NABIDKA DOPRAVCE'!$K27*'Vypocty indexu'!G35*('Cenova nabidka CNG'!$F23+IF(OR(G$33&lt;SH,G$33&gt;HH),'Cenova nabidka CNG'!$G23*1/(1+G$33)*IF(NaPoVo=0,0,'Beh smlouvy'!F$8/NaPoVo)+'Cenova nabidka CNG'!$H23*1/(1+G$33),'Cenova nabidka CNG'!$G23+'Cenova nabidka CNG'!$H23))</f>
        <v>0</v>
      </c>
      <c r="H24" s="120">
        <f>'NABIDKA DOPRAVCE'!$K27*'Vypocty indexu'!H35*('Cenova nabidka CNG'!$F23+IF(OR(H$33&lt;SH,H$33&gt;HH),'Cenova nabidka CNG'!$G23*1/(1+H$33)*IF(NaPoVo=0,0,'Beh smlouvy'!G$8/NaPoVo)+'Cenova nabidka CNG'!$H23*1/(1+H$33),'Cenova nabidka CNG'!$G23+'Cenova nabidka CNG'!$H23))</f>
        <v>0</v>
      </c>
      <c r="I24" s="120">
        <f>'NABIDKA DOPRAVCE'!$K27*'Vypocty indexu'!I35*('Cenova nabidka CNG'!$F23+IF(OR(I$33&lt;SH,I$33&gt;HH),'Cenova nabidka CNG'!$G23*1/(1+I$33)*IF(NaPoVo=0,0,'Beh smlouvy'!H$8/NaPoVo)+'Cenova nabidka CNG'!$H23*1/(1+I$33),'Cenova nabidka CNG'!$G23+'Cenova nabidka CNG'!$H23))</f>
        <v>0</v>
      </c>
      <c r="J24" s="120">
        <f>'NABIDKA DOPRAVCE'!$K27*'Vypocty indexu'!J35*('Cenova nabidka CNG'!$F23+IF(OR(J$33&lt;SH,J$33&gt;HH),'Cenova nabidka CNG'!$G23*1/(1+J$33)*IF(NaPoVo=0,0,'Beh smlouvy'!I$8/NaPoVo)+'Cenova nabidka CNG'!$H23*1/(1+J$33),'Cenova nabidka CNG'!$G23+'Cenova nabidka CNG'!$H23))</f>
        <v>0</v>
      </c>
      <c r="K24" s="120">
        <f>'NABIDKA DOPRAVCE'!$K27*'Vypocty indexu'!K35*('Cenova nabidka CNG'!$F23+IF(OR(K$33&lt;SH,K$33&gt;HH),'Cenova nabidka CNG'!$G23*1/(1+K$33)*IF(NaPoVo=0,0,'Beh smlouvy'!J$8/NaPoVo)+'Cenova nabidka CNG'!$H23*1/(1+K$33),'Cenova nabidka CNG'!$G23+'Cenova nabidka CNG'!$H23))</f>
        <v>0</v>
      </c>
      <c r="L24" s="120">
        <f>'NABIDKA DOPRAVCE'!$K27*'Vypocty indexu'!L35*('Cenova nabidka CNG'!$F23+IF(OR(L$33&lt;SH,L$33&gt;HH),'Cenova nabidka CNG'!$G23*1/(1+L$33)*IF(NaPoVo=0,0,'Beh smlouvy'!K$8/NaPoVo)+'Cenova nabidka CNG'!$H23*1/(1+L$33),'Cenova nabidka CNG'!$G23+'Cenova nabidka CNG'!$H23))</f>
        <v>0</v>
      </c>
      <c r="M24" s="120">
        <f>'NABIDKA DOPRAVCE'!$K27*'Vypocty indexu'!M35*('Cenova nabidka CNG'!$F23+IF(OR(M$33&lt;SH,M$33&gt;HH),'Cenova nabidka CNG'!$G23*1/(1+M$33)*IF(NaPoVo=0,0,'Beh smlouvy'!L$8/NaPoVo)+'Cenova nabidka CNG'!$H23*1/(1+M$33),'Cenova nabidka CNG'!$G23+'Cenova nabidka CNG'!$H23))</f>
        <v>0</v>
      </c>
      <c r="N24" s="120">
        <f>'NABIDKA DOPRAVCE'!$K27*'Vypocty indexu'!N35*('Cenova nabidka CNG'!$F23+IF(OR(N$33&lt;SH,N$33&gt;HH),'Cenova nabidka CNG'!$G23*1/(1+N$33)*IF(NaPoVo=0,0,'Beh smlouvy'!M$8/NaPoVo)+'Cenova nabidka CNG'!$H23*1/(1+N$33),'Cenova nabidka CNG'!$G23+'Cenova nabidka CNG'!$H23))</f>
        <v>0</v>
      </c>
    </row>
    <row r="25" spans="2:14" ht="12.75" outlineLevel="1">
      <c r="B25" s="56">
        <v>22</v>
      </c>
      <c r="C25" s="47" t="s">
        <v>17</v>
      </c>
      <c r="D25" s="193"/>
      <c r="E25" s="120">
        <f>'NABIDKA DOPRAVCE'!$K28*'Vypocty indexu'!E36*('Cenova nabidka CNG'!$F24+IF(OR(E$33&lt;SH,E$33&gt;HH),'Cenova nabidka CNG'!$G24*1/(1+E$33)*IF(NaPoVo=0,0,'Beh smlouvy'!D$8/NaPoVo)+'Cenova nabidka CNG'!$H24*1/(1+E$33),'Cenova nabidka CNG'!$G24+'Cenova nabidka CNG'!$H24))</f>
        <v>0.25</v>
      </c>
      <c r="F25" s="120">
        <f>'NABIDKA DOPRAVCE'!$K28*'Vypocty indexu'!F36*('Cenova nabidka CNG'!$F24+IF(OR(F$33&lt;SH,F$33&gt;HH),'Cenova nabidka CNG'!$G24*1/(1+F$33)*IF(NaPoVo=0,0,'Beh smlouvy'!E$8/NaPoVo)+'Cenova nabidka CNG'!$H24*1/(1+F$33),'Cenova nabidka CNG'!$G24+'Cenova nabidka CNG'!$H24))</f>
        <v>0</v>
      </c>
      <c r="G25" s="120">
        <f>'NABIDKA DOPRAVCE'!$K28*'Vypocty indexu'!G36*('Cenova nabidka CNG'!$F24+IF(OR(G$33&lt;SH,G$33&gt;HH),'Cenova nabidka CNG'!$G24*1/(1+G$33)*IF(NaPoVo=0,0,'Beh smlouvy'!F$8/NaPoVo)+'Cenova nabidka CNG'!$H24*1/(1+G$33),'Cenova nabidka CNG'!$G24+'Cenova nabidka CNG'!$H24))</f>
        <v>0</v>
      </c>
      <c r="H25" s="120">
        <f>'NABIDKA DOPRAVCE'!$K28*'Vypocty indexu'!H36*('Cenova nabidka CNG'!$F24+IF(OR(H$33&lt;SH,H$33&gt;HH),'Cenova nabidka CNG'!$G24*1/(1+H$33)*IF(NaPoVo=0,0,'Beh smlouvy'!G$8/NaPoVo)+'Cenova nabidka CNG'!$H24*1/(1+H$33),'Cenova nabidka CNG'!$G24+'Cenova nabidka CNG'!$H24))</f>
        <v>0</v>
      </c>
      <c r="I25" s="120">
        <f>'NABIDKA DOPRAVCE'!$K28*'Vypocty indexu'!I36*('Cenova nabidka CNG'!$F24+IF(OR(I$33&lt;SH,I$33&gt;HH),'Cenova nabidka CNG'!$G24*1/(1+I$33)*IF(NaPoVo=0,0,'Beh smlouvy'!H$8/NaPoVo)+'Cenova nabidka CNG'!$H24*1/(1+I$33),'Cenova nabidka CNG'!$G24+'Cenova nabidka CNG'!$H24))</f>
        <v>0</v>
      </c>
      <c r="J25" s="120">
        <f>'NABIDKA DOPRAVCE'!$K28*'Vypocty indexu'!J36*('Cenova nabidka CNG'!$F24+IF(OR(J$33&lt;SH,J$33&gt;HH),'Cenova nabidka CNG'!$G24*1/(1+J$33)*IF(NaPoVo=0,0,'Beh smlouvy'!I$8/NaPoVo)+'Cenova nabidka CNG'!$H24*1/(1+J$33),'Cenova nabidka CNG'!$G24+'Cenova nabidka CNG'!$H24))</f>
        <v>0</v>
      </c>
      <c r="K25" s="120">
        <f>'NABIDKA DOPRAVCE'!$K28*'Vypocty indexu'!K36*('Cenova nabidka CNG'!$F24+IF(OR(K$33&lt;SH,K$33&gt;HH),'Cenova nabidka CNG'!$G24*1/(1+K$33)*IF(NaPoVo=0,0,'Beh smlouvy'!J$8/NaPoVo)+'Cenova nabidka CNG'!$H24*1/(1+K$33),'Cenova nabidka CNG'!$G24+'Cenova nabidka CNG'!$H24))</f>
        <v>0</v>
      </c>
      <c r="L25" s="120">
        <f>'NABIDKA DOPRAVCE'!$K28*'Vypocty indexu'!L36*('Cenova nabidka CNG'!$F24+IF(OR(L$33&lt;SH,L$33&gt;HH),'Cenova nabidka CNG'!$G24*1/(1+L$33)*IF(NaPoVo=0,0,'Beh smlouvy'!K$8/NaPoVo)+'Cenova nabidka CNG'!$H24*1/(1+L$33),'Cenova nabidka CNG'!$G24+'Cenova nabidka CNG'!$H24))</f>
        <v>0</v>
      </c>
      <c r="M25" s="120">
        <f>'NABIDKA DOPRAVCE'!$K28*'Vypocty indexu'!M36*('Cenova nabidka CNG'!$F24+IF(OR(M$33&lt;SH,M$33&gt;HH),'Cenova nabidka CNG'!$G24*1/(1+M$33)*IF(NaPoVo=0,0,'Beh smlouvy'!L$8/NaPoVo)+'Cenova nabidka CNG'!$H24*1/(1+M$33),'Cenova nabidka CNG'!$G24+'Cenova nabidka CNG'!$H24))</f>
        <v>0</v>
      </c>
      <c r="N25" s="120">
        <f>'NABIDKA DOPRAVCE'!$K28*'Vypocty indexu'!N36*('Cenova nabidka CNG'!$F24+IF(OR(N$33&lt;SH,N$33&gt;HH),'Cenova nabidka CNG'!$G24*1/(1+N$33)*IF(NaPoVo=0,0,'Beh smlouvy'!M$8/NaPoVo)+'Cenova nabidka CNG'!$H24*1/(1+N$33),'Cenova nabidka CNG'!$G24+'Cenova nabidka CNG'!$H24))</f>
        <v>0</v>
      </c>
    </row>
    <row r="26" spans="2:14" ht="12.75" outlineLevel="1">
      <c r="B26" s="56">
        <v>23</v>
      </c>
      <c r="C26" s="47" t="s">
        <v>18</v>
      </c>
      <c r="D26" s="193"/>
      <c r="E26" s="120">
        <f>'NABIDKA DOPRAVCE'!$K29*'Vypocty indexu'!E37*('Cenova nabidka CNG'!$F25+IF(OR(E$33&lt;SH,E$33&gt;HH),'Cenova nabidka CNG'!$G25*1/(1+E$33)*IF(NaPoVo=0,0,'Beh smlouvy'!D$8/NaPoVo)+'Cenova nabidka CNG'!$H25*1/(1+E$33),'Cenova nabidka CNG'!$G25+'Cenova nabidka CNG'!$H25))</f>
        <v>0.45</v>
      </c>
      <c r="F26" s="120">
        <f>'NABIDKA DOPRAVCE'!$K29*'Vypocty indexu'!F37*('Cenova nabidka CNG'!$F25+IF(OR(F$33&lt;SH,F$33&gt;HH),'Cenova nabidka CNG'!$G25*1/(1+F$33)*IF(NaPoVo=0,0,'Beh smlouvy'!E$8/NaPoVo)+'Cenova nabidka CNG'!$H25*1/(1+F$33),'Cenova nabidka CNG'!$G25+'Cenova nabidka CNG'!$H25))</f>
        <v>0</v>
      </c>
      <c r="G26" s="120">
        <f>'NABIDKA DOPRAVCE'!$K29*'Vypocty indexu'!G37*('Cenova nabidka CNG'!$F25+IF(OR(G$33&lt;SH,G$33&gt;HH),'Cenova nabidka CNG'!$G25*1/(1+G$33)*IF(NaPoVo=0,0,'Beh smlouvy'!F$8/NaPoVo)+'Cenova nabidka CNG'!$H25*1/(1+G$33),'Cenova nabidka CNG'!$G25+'Cenova nabidka CNG'!$H25))</f>
        <v>0</v>
      </c>
      <c r="H26" s="120">
        <f>'NABIDKA DOPRAVCE'!$K29*'Vypocty indexu'!H37*('Cenova nabidka CNG'!$F25+IF(OR(H$33&lt;SH,H$33&gt;HH),'Cenova nabidka CNG'!$G25*1/(1+H$33)*IF(NaPoVo=0,0,'Beh smlouvy'!G$8/NaPoVo)+'Cenova nabidka CNG'!$H25*1/(1+H$33),'Cenova nabidka CNG'!$G25+'Cenova nabidka CNG'!$H25))</f>
        <v>0</v>
      </c>
      <c r="I26" s="120">
        <f>'NABIDKA DOPRAVCE'!$K29*'Vypocty indexu'!I37*('Cenova nabidka CNG'!$F25+IF(OR(I$33&lt;SH,I$33&gt;HH),'Cenova nabidka CNG'!$G25*1/(1+I$33)*IF(NaPoVo=0,0,'Beh smlouvy'!H$8/NaPoVo)+'Cenova nabidka CNG'!$H25*1/(1+I$33),'Cenova nabidka CNG'!$G25+'Cenova nabidka CNG'!$H25))</f>
        <v>0</v>
      </c>
      <c r="J26" s="120">
        <f>'NABIDKA DOPRAVCE'!$K29*'Vypocty indexu'!J37*('Cenova nabidka CNG'!$F25+IF(OR(J$33&lt;SH,J$33&gt;HH),'Cenova nabidka CNG'!$G25*1/(1+J$33)*IF(NaPoVo=0,0,'Beh smlouvy'!I$8/NaPoVo)+'Cenova nabidka CNG'!$H25*1/(1+J$33),'Cenova nabidka CNG'!$G25+'Cenova nabidka CNG'!$H25))</f>
        <v>0</v>
      </c>
      <c r="K26" s="120">
        <f>'NABIDKA DOPRAVCE'!$K29*'Vypocty indexu'!K37*('Cenova nabidka CNG'!$F25+IF(OR(K$33&lt;SH,K$33&gt;HH),'Cenova nabidka CNG'!$G25*1/(1+K$33)*IF(NaPoVo=0,0,'Beh smlouvy'!J$8/NaPoVo)+'Cenova nabidka CNG'!$H25*1/(1+K$33),'Cenova nabidka CNG'!$G25+'Cenova nabidka CNG'!$H25))</f>
        <v>0</v>
      </c>
      <c r="L26" s="120">
        <f>'NABIDKA DOPRAVCE'!$K29*'Vypocty indexu'!L37*('Cenova nabidka CNG'!$F25+IF(OR(L$33&lt;SH,L$33&gt;HH),'Cenova nabidka CNG'!$G25*1/(1+L$33)*IF(NaPoVo=0,0,'Beh smlouvy'!K$8/NaPoVo)+'Cenova nabidka CNG'!$H25*1/(1+L$33),'Cenova nabidka CNG'!$G25+'Cenova nabidka CNG'!$H25))</f>
        <v>0</v>
      </c>
      <c r="M26" s="120">
        <f>'NABIDKA DOPRAVCE'!$K29*'Vypocty indexu'!M37*('Cenova nabidka CNG'!$F25+IF(OR(M$33&lt;SH,M$33&gt;HH),'Cenova nabidka CNG'!$G25*1/(1+M$33)*IF(NaPoVo=0,0,'Beh smlouvy'!L$8/NaPoVo)+'Cenova nabidka CNG'!$H25*1/(1+M$33),'Cenova nabidka CNG'!$G25+'Cenova nabidka CNG'!$H25))</f>
        <v>0</v>
      </c>
      <c r="N26" s="120">
        <f>'NABIDKA DOPRAVCE'!$K29*'Vypocty indexu'!N37*('Cenova nabidka CNG'!$F25+IF(OR(N$33&lt;SH,N$33&gt;HH),'Cenova nabidka CNG'!$G25*1/(1+N$33)*IF(NaPoVo=0,0,'Beh smlouvy'!M$8/NaPoVo)+'Cenova nabidka CNG'!$H25*1/(1+N$33),'Cenova nabidka CNG'!$G25+'Cenova nabidka CNG'!$H25))</f>
        <v>0</v>
      </c>
    </row>
    <row r="27" spans="2:14" ht="12.75" outlineLevel="1">
      <c r="B27" s="56">
        <v>24</v>
      </c>
      <c r="C27" s="47" t="s">
        <v>19</v>
      </c>
      <c r="D27" s="193"/>
      <c r="E27" s="120">
        <f>'NABIDKA DOPRAVCE'!$K30*'Vypocty indexu'!E38*('Cenova nabidka CNG'!$F26+IF(OR(E$33&lt;SH,E$33&gt;HH),'Cenova nabidka CNG'!$G26*1/(1+E$33)*IF(NaPoVo=0,0,'Beh smlouvy'!D$8/NaPoVo)+'Cenova nabidka CNG'!$H26*1/(1+E$33),'Cenova nabidka CNG'!$G26+'Cenova nabidka CNG'!$H26))</f>
        <v>0.85</v>
      </c>
      <c r="F27" s="120">
        <f>'NABIDKA DOPRAVCE'!$K30*'Vypocty indexu'!F38*('Cenova nabidka CNG'!$F26+IF(OR(F$33&lt;SH,F$33&gt;HH),'Cenova nabidka CNG'!$G26*1/(1+F$33)*IF(NaPoVo=0,0,'Beh smlouvy'!E$8/NaPoVo)+'Cenova nabidka CNG'!$H26*1/(1+F$33),'Cenova nabidka CNG'!$G26+'Cenova nabidka CNG'!$H26))</f>
        <v>0</v>
      </c>
      <c r="G27" s="120">
        <f>'NABIDKA DOPRAVCE'!$K30*'Vypocty indexu'!G38*('Cenova nabidka CNG'!$F26+IF(OR(G$33&lt;SH,G$33&gt;HH),'Cenova nabidka CNG'!$G26*1/(1+G$33)*IF(NaPoVo=0,0,'Beh smlouvy'!F$8/NaPoVo)+'Cenova nabidka CNG'!$H26*1/(1+G$33),'Cenova nabidka CNG'!$G26+'Cenova nabidka CNG'!$H26))</f>
        <v>0</v>
      </c>
      <c r="H27" s="120">
        <f>'NABIDKA DOPRAVCE'!$K30*'Vypocty indexu'!H38*('Cenova nabidka CNG'!$F26+IF(OR(H$33&lt;SH,H$33&gt;HH),'Cenova nabidka CNG'!$G26*1/(1+H$33)*IF(NaPoVo=0,0,'Beh smlouvy'!G$8/NaPoVo)+'Cenova nabidka CNG'!$H26*1/(1+H$33),'Cenova nabidka CNG'!$G26+'Cenova nabidka CNG'!$H26))</f>
        <v>0</v>
      </c>
      <c r="I27" s="120">
        <f>'NABIDKA DOPRAVCE'!$K30*'Vypocty indexu'!I38*('Cenova nabidka CNG'!$F26+IF(OR(I$33&lt;SH,I$33&gt;HH),'Cenova nabidka CNG'!$G26*1/(1+I$33)*IF(NaPoVo=0,0,'Beh smlouvy'!H$8/NaPoVo)+'Cenova nabidka CNG'!$H26*1/(1+I$33),'Cenova nabidka CNG'!$G26+'Cenova nabidka CNG'!$H26))</f>
        <v>0</v>
      </c>
      <c r="J27" s="120">
        <f>'NABIDKA DOPRAVCE'!$K30*'Vypocty indexu'!J38*('Cenova nabidka CNG'!$F26+IF(OR(J$33&lt;SH,J$33&gt;HH),'Cenova nabidka CNG'!$G26*1/(1+J$33)*IF(NaPoVo=0,0,'Beh smlouvy'!I$8/NaPoVo)+'Cenova nabidka CNG'!$H26*1/(1+J$33),'Cenova nabidka CNG'!$G26+'Cenova nabidka CNG'!$H26))</f>
        <v>0</v>
      </c>
      <c r="K27" s="120">
        <f>'NABIDKA DOPRAVCE'!$K30*'Vypocty indexu'!K38*('Cenova nabidka CNG'!$F26+IF(OR(K$33&lt;SH,K$33&gt;HH),'Cenova nabidka CNG'!$G26*1/(1+K$33)*IF(NaPoVo=0,0,'Beh smlouvy'!J$8/NaPoVo)+'Cenova nabidka CNG'!$H26*1/(1+K$33),'Cenova nabidka CNG'!$G26+'Cenova nabidka CNG'!$H26))</f>
        <v>0</v>
      </c>
      <c r="L27" s="120">
        <f>'NABIDKA DOPRAVCE'!$K30*'Vypocty indexu'!L38*('Cenova nabidka CNG'!$F26+IF(OR(L$33&lt;SH,L$33&gt;HH),'Cenova nabidka CNG'!$G26*1/(1+L$33)*IF(NaPoVo=0,0,'Beh smlouvy'!K$8/NaPoVo)+'Cenova nabidka CNG'!$H26*1/(1+L$33),'Cenova nabidka CNG'!$G26+'Cenova nabidka CNG'!$H26))</f>
        <v>0</v>
      </c>
      <c r="M27" s="120">
        <f>'NABIDKA DOPRAVCE'!$K30*'Vypocty indexu'!M38*('Cenova nabidka CNG'!$F26+IF(OR(M$33&lt;SH,M$33&gt;HH),'Cenova nabidka CNG'!$G26*1/(1+M$33)*IF(NaPoVo=0,0,'Beh smlouvy'!L$8/NaPoVo)+'Cenova nabidka CNG'!$H26*1/(1+M$33),'Cenova nabidka CNG'!$G26+'Cenova nabidka CNG'!$H26))</f>
        <v>0</v>
      </c>
      <c r="N27" s="120">
        <f>'NABIDKA DOPRAVCE'!$K30*'Vypocty indexu'!N38*('Cenova nabidka CNG'!$F26+IF(OR(N$33&lt;SH,N$33&gt;HH),'Cenova nabidka CNG'!$G26*1/(1+N$33)*IF(NaPoVo=0,0,'Beh smlouvy'!M$8/NaPoVo)+'Cenova nabidka CNG'!$H26*1/(1+N$33),'Cenova nabidka CNG'!$G26+'Cenova nabidka CNG'!$H26))</f>
        <v>0</v>
      </c>
    </row>
    <row r="28" spans="2:14" ht="12.75" outlineLevel="1">
      <c r="B28" s="56">
        <v>25</v>
      </c>
      <c r="C28" s="47" t="s">
        <v>20</v>
      </c>
      <c r="D28" s="193"/>
      <c r="E28" s="120">
        <f>'NABIDKA DOPRAVCE'!$K31*'Vypocty indexu'!E39*('Cenova nabidka CNG'!$F27+IF(OR(E$33&lt;SH,E$33&gt;HH),'Cenova nabidka CNG'!$G27*1/(1+E$33)*IF(NaPoVo=0,0,'Beh smlouvy'!D$8/NaPoVo)+'Cenova nabidka CNG'!$H27*1/(1+E$33),'Cenova nabidka CNG'!$G27+'Cenova nabidka CNG'!$H27))</f>
        <v>0.58</v>
      </c>
      <c r="F28" s="120">
        <f>'NABIDKA DOPRAVCE'!$K31*'Vypocty indexu'!F39*('Cenova nabidka CNG'!$F27+IF(OR(F$33&lt;SH,F$33&gt;HH),'Cenova nabidka CNG'!$G27*1/(1+F$33)*IF(NaPoVo=0,0,'Beh smlouvy'!E$8/NaPoVo)+'Cenova nabidka CNG'!$H27*1/(1+F$33),'Cenova nabidka CNG'!$G27+'Cenova nabidka CNG'!$H27))</f>
        <v>0</v>
      </c>
      <c r="G28" s="120">
        <f>'NABIDKA DOPRAVCE'!$K31*'Vypocty indexu'!G39*('Cenova nabidka CNG'!$F27+IF(OR(G$33&lt;SH,G$33&gt;HH),'Cenova nabidka CNG'!$G27*1/(1+G$33)*IF(NaPoVo=0,0,'Beh smlouvy'!F$8/NaPoVo)+'Cenova nabidka CNG'!$H27*1/(1+G$33),'Cenova nabidka CNG'!$G27+'Cenova nabidka CNG'!$H27))</f>
        <v>0</v>
      </c>
      <c r="H28" s="120">
        <f>'NABIDKA DOPRAVCE'!$K31*'Vypocty indexu'!H39*('Cenova nabidka CNG'!$F27+IF(OR(H$33&lt;SH,H$33&gt;HH),'Cenova nabidka CNG'!$G27*1/(1+H$33)*IF(NaPoVo=0,0,'Beh smlouvy'!G$8/NaPoVo)+'Cenova nabidka CNG'!$H27*1/(1+H$33),'Cenova nabidka CNG'!$G27+'Cenova nabidka CNG'!$H27))</f>
        <v>0</v>
      </c>
      <c r="I28" s="120">
        <f>'NABIDKA DOPRAVCE'!$K31*'Vypocty indexu'!I39*('Cenova nabidka CNG'!$F27+IF(OR(I$33&lt;SH,I$33&gt;HH),'Cenova nabidka CNG'!$G27*1/(1+I$33)*IF(NaPoVo=0,0,'Beh smlouvy'!H$8/NaPoVo)+'Cenova nabidka CNG'!$H27*1/(1+I$33),'Cenova nabidka CNG'!$G27+'Cenova nabidka CNG'!$H27))</f>
        <v>0</v>
      </c>
      <c r="J28" s="120">
        <f>'NABIDKA DOPRAVCE'!$K31*'Vypocty indexu'!J39*('Cenova nabidka CNG'!$F27+IF(OR(J$33&lt;SH,J$33&gt;HH),'Cenova nabidka CNG'!$G27*1/(1+J$33)*IF(NaPoVo=0,0,'Beh smlouvy'!I$8/NaPoVo)+'Cenova nabidka CNG'!$H27*1/(1+J$33),'Cenova nabidka CNG'!$G27+'Cenova nabidka CNG'!$H27))</f>
        <v>0</v>
      </c>
      <c r="K28" s="120">
        <f>'NABIDKA DOPRAVCE'!$K31*'Vypocty indexu'!K39*('Cenova nabidka CNG'!$F27+IF(OR(K$33&lt;SH,K$33&gt;HH),'Cenova nabidka CNG'!$G27*1/(1+K$33)*IF(NaPoVo=0,0,'Beh smlouvy'!J$8/NaPoVo)+'Cenova nabidka CNG'!$H27*1/(1+K$33),'Cenova nabidka CNG'!$G27+'Cenova nabidka CNG'!$H27))</f>
        <v>0</v>
      </c>
      <c r="L28" s="120">
        <f>'NABIDKA DOPRAVCE'!$K31*'Vypocty indexu'!L39*('Cenova nabidka CNG'!$F27+IF(OR(L$33&lt;SH,L$33&gt;HH),'Cenova nabidka CNG'!$G27*1/(1+L$33)*IF(NaPoVo=0,0,'Beh smlouvy'!K$8/NaPoVo)+'Cenova nabidka CNG'!$H27*1/(1+L$33),'Cenova nabidka CNG'!$G27+'Cenova nabidka CNG'!$H27))</f>
        <v>0</v>
      </c>
      <c r="M28" s="120">
        <f>'NABIDKA DOPRAVCE'!$K31*'Vypocty indexu'!M39*('Cenova nabidka CNG'!$F27+IF(OR(M$33&lt;SH,M$33&gt;HH),'Cenova nabidka CNG'!$G27*1/(1+M$33)*IF(NaPoVo=0,0,'Beh smlouvy'!L$8/NaPoVo)+'Cenova nabidka CNG'!$H27*1/(1+M$33),'Cenova nabidka CNG'!$G27+'Cenova nabidka CNG'!$H27))</f>
        <v>0</v>
      </c>
      <c r="N28" s="120">
        <f>'NABIDKA DOPRAVCE'!$K31*'Vypocty indexu'!N39*('Cenova nabidka CNG'!$F27+IF(OR(N$33&lt;SH,N$33&gt;HH),'Cenova nabidka CNG'!$G27*1/(1+N$33)*IF(NaPoVo=0,0,'Beh smlouvy'!M$8/NaPoVo)+'Cenova nabidka CNG'!$H27*1/(1+N$33),'Cenova nabidka CNG'!$G27+'Cenova nabidka CNG'!$H27))</f>
        <v>0</v>
      </c>
    </row>
    <row r="29" spans="2:14" ht="12.75" outlineLevel="1">
      <c r="B29" s="67"/>
      <c r="C29" s="47"/>
      <c r="D29" s="193"/>
      <c r="E29" s="120"/>
      <c r="F29" s="120"/>
      <c r="G29" s="120"/>
      <c r="H29" s="120"/>
      <c r="I29" s="120"/>
      <c r="J29" s="120"/>
      <c r="K29" s="120"/>
      <c r="L29" s="120"/>
      <c r="M29" s="120"/>
      <c r="N29" s="120"/>
    </row>
    <row r="30" spans="2:14" ht="12.75" outlineLevel="1">
      <c r="B30" s="56">
        <v>97</v>
      </c>
      <c r="C30" s="47" t="s">
        <v>84</v>
      </c>
      <c r="D30" s="193"/>
      <c r="E30" s="120">
        <f>'NABIDKA DOPRAVCE'!$K33*'Vypocty indexu'!E41*('Cenova nabidka CNG'!$F29+IF(OR(E$33&lt;SH,E$33&gt;HH),'Cenova nabidka CNG'!$G29*1/(1+E$33)*IF(NaPoVo=0,0,'Beh smlouvy'!D$8/NaPoVo)+'Cenova nabidka CNG'!$H29*1/(1+E$33),'Cenova nabidka CNG'!$G29+'Cenova nabidka CNG'!$H29))</f>
        <v>0</v>
      </c>
      <c r="F30" s="120">
        <f>'NABIDKA DOPRAVCE'!$K33*'Vypocty indexu'!F41*('Cenova nabidka CNG'!$F29+IF(OR(F$33&lt;SH,F$33&gt;HH),'Cenova nabidka CNG'!$G29*1/(1+F$33)*IF(NaPoVo=0,0,'Beh smlouvy'!E$8/NaPoVo)+'Cenova nabidka CNG'!$H29*1/(1+F$33),'Cenova nabidka CNG'!$G29+'Cenova nabidka CNG'!$H29))</f>
        <v>0</v>
      </c>
      <c r="G30" s="120">
        <f>'NABIDKA DOPRAVCE'!$K33*'Vypocty indexu'!G41*('Cenova nabidka CNG'!$F29+IF(OR(G$33&lt;SH,G$33&gt;HH),'Cenova nabidka CNG'!$G29*1/(1+G$33)*IF(NaPoVo=0,0,'Beh smlouvy'!F$8/NaPoVo)+'Cenova nabidka CNG'!$H29*1/(1+G$33),'Cenova nabidka CNG'!$G29+'Cenova nabidka CNG'!$H29))</f>
        <v>0</v>
      </c>
      <c r="H30" s="120">
        <f>'NABIDKA DOPRAVCE'!$K33*'Vypocty indexu'!H41*('Cenova nabidka CNG'!$F29+IF(OR(H$33&lt;SH,H$33&gt;HH),'Cenova nabidka CNG'!$G29*1/(1+H$33)*IF(NaPoVo=0,0,'Beh smlouvy'!G$8/NaPoVo)+'Cenova nabidka CNG'!$H29*1/(1+H$33),'Cenova nabidka CNG'!$G29+'Cenova nabidka CNG'!$H29))</f>
        <v>0</v>
      </c>
      <c r="I30" s="120">
        <f>'NABIDKA DOPRAVCE'!$K33*'Vypocty indexu'!I41*('Cenova nabidka CNG'!$F29+IF(OR(I$33&lt;SH,I$33&gt;HH),'Cenova nabidka CNG'!$G29*1/(1+I$33)*IF(NaPoVo=0,0,'Beh smlouvy'!H$8/NaPoVo)+'Cenova nabidka CNG'!$H29*1/(1+I$33),'Cenova nabidka CNG'!$G29+'Cenova nabidka CNG'!$H29))</f>
        <v>0</v>
      </c>
      <c r="J30" s="120">
        <f>'NABIDKA DOPRAVCE'!$K33*'Vypocty indexu'!J41*('Cenova nabidka CNG'!$F29+IF(OR(J$33&lt;SH,J$33&gt;HH),'Cenova nabidka CNG'!$G29*1/(1+J$33)*IF(NaPoVo=0,0,'Beh smlouvy'!I$8/NaPoVo)+'Cenova nabidka CNG'!$H29*1/(1+J$33),'Cenova nabidka CNG'!$G29+'Cenova nabidka CNG'!$H29))</f>
        <v>0</v>
      </c>
      <c r="K30" s="120">
        <f>'NABIDKA DOPRAVCE'!$K33*'Vypocty indexu'!K41*('Cenova nabidka CNG'!$F29+IF(OR(K$33&lt;SH,K$33&gt;HH),'Cenova nabidka CNG'!$G29*1/(1+K$33)*IF(NaPoVo=0,0,'Beh smlouvy'!J$8/NaPoVo)+'Cenova nabidka CNG'!$H29*1/(1+K$33),'Cenova nabidka CNG'!$G29+'Cenova nabidka CNG'!$H29))</f>
        <v>0</v>
      </c>
      <c r="L30" s="120">
        <f>'NABIDKA DOPRAVCE'!$K33*'Vypocty indexu'!L41*('Cenova nabidka CNG'!$F29+IF(OR(L$33&lt;SH,L$33&gt;HH),'Cenova nabidka CNG'!$G29*1/(1+L$33)*IF(NaPoVo=0,0,'Beh smlouvy'!K$8/NaPoVo)+'Cenova nabidka CNG'!$H29*1/(1+L$33),'Cenova nabidka CNG'!$G29+'Cenova nabidka CNG'!$H29))</f>
        <v>0</v>
      </c>
      <c r="M30" s="120">
        <f>'NABIDKA DOPRAVCE'!$K33*'Vypocty indexu'!M41*('Cenova nabidka CNG'!$F29+IF(OR(M$33&lt;SH,M$33&gt;HH),'Cenova nabidka CNG'!$G29*1/(1+M$33)*IF(NaPoVo=0,0,'Beh smlouvy'!L$8/NaPoVo)+'Cenova nabidka CNG'!$H29*1/(1+M$33),'Cenova nabidka CNG'!$G29+'Cenova nabidka CNG'!$H29))</f>
        <v>0</v>
      </c>
      <c r="N30" s="120">
        <f>'NABIDKA DOPRAVCE'!$K33*'Vypocty indexu'!N41*('Cenova nabidka CNG'!$F29+IF(OR(N$33&lt;SH,N$33&gt;HH),'Cenova nabidka CNG'!$G29*1/(1+N$33)*IF(NaPoVo=0,0,'Beh smlouvy'!M$8/NaPoVo)+'Cenova nabidka CNG'!$H29*1/(1+N$33),'Cenova nabidka CNG'!$G29+'Cenova nabidka CNG'!$H29))</f>
        <v>0</v>
      </c>
    </row>
    <row r="31" spans="2:14" ht="12.75" outlineLevel="1">
      <c r="B31" s="56">
        <v>98</v>
      </c>
      <c r="C31" s="47" t="s">
        <v>44</v>
      </c>
      <c r="D31" s="193"/>
      <c r="E31" s="120">
        <f>'NABIDKA DOPRAVCE'!$K34*'Vypocty indexu'!E42*('Cenova nabidka CNG'!$F30+IF(OR(E$33&lt;SH,E$33&gt;HH),'Cenova nabidka CNG'!$G30*1/(1+E$33)*IF(NaPoVo=0,0,'Beh smlouvy'!D$8/NaPoVo)+'Cenova nabidka CNG'!$H30*1/(1+E$33),'Cenova nabidka CNG'!$G30+'Cenova nabidka CNG'!$H30))</f>
        <v>0.1</v>
      </c>
      <c r="F31" s="120">
        <f>'NABIDKA DOPRAVCE'!$K34*'Vypocty indexu'!F42*('Cenova nabidka CNG'!$F30+IF(OR(F$33&lt;SH,F$33&gt;HH),'Cenova nabidka CNG'!$G30*1/(1+F$33)*IF(NaPoVo=0,0,'Beh smlouvy'!E$8/NaPoVo)+'Cenova nabidka CNG'!$H30*1/(1+F$33),'Cenova nabidka CNG'!$G30+'Cenova nabidka CNG'!$H30))</f>
        <v>0</v>
      </c>
      <c r="G31" s="120">
        <f>'NABIDKA DOPRAVCE'!$K34*'Vypocty indexu'!G42*('Cenova nabidka CNG'!$F30+IF(OR(G$33&lt;SH,G$33&gt;HH),'Cenova nabidka CNG'!$G30*1/(1+G$33)*IF(NaPoVo=0,0,'Beh smlouvy'!F$8/NaPoVo)+'Cenova nabidka CNG'!$H30*1/(1+G$33),'Cenova nabidka CNG'!$G30+'Cenova nabidka CNG'!$H30))</f>
        <v>0</v>
      </c>
      <c r="H31" s="120">
        <f>'NABIDKA DOPRAVCE'!$K34*'Vypocty indexu'!H42*('Cenova nabidka CNG'!$F30+IF(OR(H$33&lt;SH,H$33&gt;HH),'Cenova nabidka CNG'!$G30*1/(1+H$33)*IF(NaPoVo=0,0,'Beh smlouvy'!G$8/NaPoVo)+'Cenova nabidka CNG'!$H30*1/(1+H$33),'Cenova nabidka CNG'!$G30+'Cenova nabidka CNG'!$H30))</f>
        <v>0</v>
      </c>
      <c r="I31" s="120">
        <f>'NABIDKA DOPRAVCE'!$K34*'Vypocty indexu'!I42*('Cenova nabidka CNG'!$F30+IF(OR(I$33&lt;SH,I$33&gt;HH),'Cenova nabidka CNG'!$G30*1/(1+I$33)*IF(NaPoVo=0,0,'Beh smlouvy'!H$8/NaPoVo)+'Cenova nabidka CNG'!$H30*1/(1+I$33),'Cenova nabidka CNG'!$G30+'Cenova nabidka CNG'!$H30))</f>
        <v>0</v>
      </c>
      <c r="J31" s="120">
        <f>'NABIDKA DOPRAVCE'!$K34*'Vypocty indexu'!J42*('Cenova nabidka CNG'!$F30+IF(OR(J$33&lt;SH,J$33&gt;HH),'Cenova nabidka CNG'!$G30*1/(1+J$33)*IF(NaPoVo=0,0,'Beh smlouvy'!I$8/NaPoVo)+'Cenova nabidka CNG'!$H30*1/(1+J$33),'Cenova nabidka CNG'!$G30+'Cenova nabidka CNG'!$H30))</f>
        <v>0</v>
      </c>
      <c r="K31" s="120">
        <f>'NABIDKA DOPRAVCE'!$K34*'Vypocty indexu'!K42*('Cenova nabidka CNG'!$F30+IF(OR(K$33&lt;SH,K$33&gt;HH),'Cenova nabidka CNG'!$G30*1/(1+K$33)*IF(NaPoVo=0,0,'Beh smlouvy'!J$8/NaPoVo)+'Cenova nabidka CNG'!$H30*1/(1+K$33),'Cenova nabidka CNG'!$G30+'Cenova nabidka CNG'!$H30))</f>
        <v>0</v>
      </c>
      <c r="L31" s="120">
        <f>'NABIDKA DOPRAVCE'!$K34*'Vypocty indexu'!L42*('Cenova nabidka CNG'!$F30+IF(OR(L$33&lt;SH,L$33&gt;HH),'Cenova nabidka CNG'!$G30*1/(1+L$33)*IF(NaPoVo=0,0,'Beh smlouvy'!K$8/NaPoVo)+'Cenova nabidka CNG'!$H30*1/(1+L$33),'Cenova nabidka CNG'!$G30+'Cenova nabidka CNG'!$H30))</f>
        <v>0</v>
      </c>
      <c r="M31" s="120">
        <f>'NABIDKA DOPRAVCE'!$K34*'Vypocty indexu'!M42*('Cenova nabidka CNG'!$F30+IF(OR(M$33&lt;SH,M$33&gt;HH),'Cenova nabidka CNG'!$G30*1/(1+M$33)*IF(NaPoVo=0,0,'Beh smlouvy'!L$8/NaPoVo)+'Cenova nabidka CNG'!$H30*1/(1+M$33),'Cenova nabidka CNG'!$G30+'Cenova nabidka CNG'!$H30))</f>
        <v>0</v>
      </c>
      <c r="N31" s="120">
        <f>'NABIDKA DOPRAVCE'!$K34*'Vypocty indexu'!N42*('Cenova nabidka CNG'!$F30+IF(OR(N$33&lt;SH,N$33&gt;HH),'Cenova nabidka CNG'!$G30*1/(1+N$33)*IF(NaPoVo=0,0,'Beh smlouvy'!M$8/NaPoVo)+'Cenova nabidka CNG'!$H30*1/(1+N$33),'Cenova nabidka CNG'!$G30+'Cenova nabidka CNG'!$H30))</f>
        <v>0</v>
      </c>
    </row>
    <row r="32" spans="2:14" ht="12.75" outlineLevel="1">
      <c r="B32" s="56">
        <v>99</v>
      </c>
      <c r="C32" s="47" t="s">
        <v>226</v>
      </c>
      <c r="D32" s="193"/>
      <c r="E32" s="120">
        <f>'NABIDKA DOPRAVCE'!$K35*'Vypocty indexu'!E43*('Cenova nabidka CNG'!$F31+IF(OR(E$33&lt;SH,E$33&gt;HH),'Cenova nabidka CNG'!$G31*1/(1+E$33)*IF(NaPoVo=0,0,'Beh smlouvy'!D$8/NaPoVo)+'Cenova nabidka CNG'!$H31*1/(1+E$33),'Cenova nabidka CNG'!$G31+'Cenova nabidka CNG'!$H31))</f>
        <v>1.1</v>
      </c>
      <c r="F32" s="120">
        <f>'NABIDKA DOPRAVCE'!$K35*'Vypocty indexu'!F43*('Cenova nabidka CNG'!$F31+IF(OR(F$33&lt;SH,F$33&gt;HH),'Cenova nabidka CNG'!$G31*1/(1+F$33)*IF(NaPoVo=0,0,'Beh smlouvy'!E$8/NaPoVo)+'Cenova nabidka CNG'!$H31*1/(1+F$33),'Cenova nabidka CNG'!$G31+'Cenova nabidka CNG'!$H31))</f>
        <v>0</v>
      </c>
      <c r="G32" s="120">
        <f>'NABIDKA DOPRAVCE'!$K35*'Vypocty indexu'!G43*('Cenova nabidka CNG'!$F31+IF(OR(G$33&lt;SH,G$33&gt;HH),'Cenova nabidka CNG'!$G31*1/(1+G$33)*IF(NaPoVo=0,0,'Beh smlouvy'!F$8/NaPoVo)+'Cenova nabidka CNG'!$H31*1/(1+G$33),'Cenova nabidka CNG'!$G31+'Cenova nabidka CNG'!$H31))</f>
        <v>0</v>
      </c>
      <c r="H32" s="120">
        <f>'NABIDKA DOPRAVCE'!$K35*'Vypocty indexu'!H43*('Cenova nabidka CNG'!$F31+IF(OR(H$33&lt;SH,H$33&gt;HH),'Cenova nabidka CNG'!$G31*1/(1+H$33)*IF(NaPoVo=0,0,'Beh smlouvy'!G$8/NaPoVo)+'Cenova nabidka CNG'!$H31*1/(1+H$33),'Cenova nabidka CNG'!$G31+'Cenova nabidka CNG'!$H31))</f>
        <v>0</v>
      </c>
      <c r="I32" s="120">
        <f>'NABIDKA DOPRAVCE'!$K35*'Vypocty indexu'!I43*('Cenova nabidka CNG'!$F31+IF(OR(I$33&lt;SH,I$33&gt;HH),'Cenova nabidka CNG'!$G31*1/(1+I$33)*IF(NaPoVo=0,0,'Beh smlouvy'!H$8/NaPoVo)+'Cenova nabidka CNG'!$H31*1/(1+I$33),'Cenova nabidka CNG'!$G31+'Cenova nabidka CNG'!$H31))</f>
        <v>0</v>
      </c>
      <c r="J32" s="120">
        <f>'NABIDKA DOPRAVCE'!$K35*'Vypocty indexu'!J43*('Cenova nabidka CNG'!$F31+IF(OR(J$33&lt;SH,J$33&gt;HH),'Cenova nabidka CNG'!$G31*1/(1+J$33)*IF(NaPoVo=0,0,'Beh smlouvy'!I$8/NaPoVo)+'Cenova nabidka CNG'!$H31*1/(1+J$33),'Cenova nabidka CNG'!$G31+'Cenova nabidka CNG'!$H31))</f>
        <v>0</v>
      </c>
      <c r="K32" s="120">
        <f>'NABIDKA DOPRAVCE'!$K35*'Vypocty indexu'!K43*('Cenova nabidka CNG'!$F31+IF(OR(K$33&lt;SH,K$33&gt;HH),'Cenova nabidka CNG'!$G31*1/(1+K$33)*IF(NaPoVo=0,0,'Beh smlouvy'!J$8/NaPoVo)+'Cenova nabidka CNG'!$H31*1/(1+K$33),'Cenova nabidka CNG'!$G31+'Cenova nabidka CNG'!$H31))</f>
        <v>0</v>
      </c>
      <c r="L32" s="120">
        <f>'NABIDKA DOPRAVCE'!$K35*'Vypocty indexu'!L43*('Cenova nabidka CNG'!$F31+IF(OR(L$33&lt;SH,L$33&gt;HH),'Cenova nabidka CNG'!$G31*1/(1+L$33)*IF(NaPoVo=0,0,'Beh smlouvy'!K$8/NaPoVo)+'Cenova nabidka CNG'!$H31*1/(1+L$33),'Cenova nabidka CNG'!$G31+'Cenova nabidka CNG'!$H31))</f>
        <v>0</v>
      </c>
      <c r="M32" s="120">
        <f>'NABIDKA DOPRAVCE'!$K35*'Vypocty indexu'!M43*('Cenova nabidka CNG'!$F31+IF(OR(M$33&lt;SH,M$33&gt;HH),'Cenova nabidka CNG'!$G31*1/(1+M$33)*IF(NaPoVo=0,0,'Beh smlouvy'!L$8/NaPoVo)+'Cenova nabidka CNG'!$H31*1/(1+M$33),'Cenova nabidka CNG'!$G31+'Cenova nabidka CNG'!$H31))</f>
        <v>0</v>
      </c>
      <c r="N32" s="120">
        <f>'NABIDKA DOPRAVCE'!$K35*'Vypocty indexu'!N43*('Cenova nabidka CNG'!$F31+IF(OR(N$33&lt;SH,N$33&gt;HH),'Cenova nabidka CNG'!$G31*1/(1+N$33)*IF(NaPoVo=0,0,'Beh smlouvy'!M$8/NaPoVo)+'Cenova nabidka CNG'!$H31*1/(1+N$33),'Cenova nabidka CNG'!$G31+'Cenova nabidka CNG'!$H31))</f>
        <v>0</v>
      </c>
    </row>
    <row r="33" spans="2:14" ht="12.75" outlineLevel="1">
      <c r="B33" s="68"/>
      <c r="C33" s="47" t="s">
        <v>71</v>
      </c>
      <c r="D33" s="28"/>
      <c r="E33" s="72">
        <f>'Beh smlouvy'!D6</f>
        <v>0</v>
      </c>
      <c r="F33" s="72">
        <f>'Beh smlouvy'!E6</f>
        <v>0</v>
      </c>
      <c r="G33" s="72">
        <f>'Beh smlouvy'!F6</f>
        <v>0</v>
      </c>
      <c r="H33" s="72">
        <f>'Beh smlouvy'!G6</f>
        <v>0</v>
      </c>
      <c r="I33" s="72">
        <f>'Beh smlouvy'!H6</f>
        <v>0</v>
      </c>
      <c r="J33" s="72">
        <f>'Beh smlouvy'!I6</f>
        <v>0</v>
      </c>
      <c r="K33" s="72">
        <f>'Beh smlouvy'!J6</f>
        <v>0</v>
      </c>
      <c r="L33" s="72">
        <f>'Beh smlouvy'!K6</f>
        <v>0</v>
      </c>
      <c r="M33" s="72">
        <f>'Beh smlouvy'!L6</f>
        <v>0</v>
      </c>
      <c r="N33" s="72">
        <f>'Beh smlouvy'!M6</f>
        <v>0</v>
      </c>
    </row>
    <row r="34" spans="2:15" s="11" customFormat="1" ht="12.75">
      <c r="B34" s="190"/>
      <c r="C34" s="63" t="s">
        <v>106</v>
      </c>
      <c r="D34" s="193"/>
      <c r="E34" s="119">
        <f>ROUND(SUM(E8:E32),2)</f>
        <v>28.99</v>
      </c>
      <c r="F34" s="119">
        <f aca="true" t="shared" si="1" ref="F34:N34">ROUND(SUM(F8:F32),2)</f>
        <v>0</v>
      </c>
      <c r="G34" s="119">
        <f t="shared" si="1"/>
        <v>0</v>
      </c>
      <c r="H34" s="119">
        <f t="shared" si="1"/>
        <v>0</v>
      </c>
      <c r="I34" s="119">
        <f t="shared" si="1"/>
        <v>0</v>
      </c>
      <c r="J34" s="119">
        <f t="shared" si="1"/>
        <v>0</v>
      </c>
      <c r="K34" s="119">
        <f t="shared" si="1"/>
        <v>0</v>
      </c>
      <c r="L34" s="119">
        <f t="shared" si="1"/>
        <v>0</v>
      </c>
      <c r="M34" s="119">
        <f t="shared" si="1"/>
        <v>0</v>
      </c>
      <c r="N34" s="119">
        <f t="shared" si="1"/>
        <v>0</v>
      </c>
      <c r="O34" s="66"/>
    </row>
    <row r="35" spans="2:15" s="11" customFormat="1" ht="12.75">
      <c r="B35" s="187"/>
      <c r="C35" s="55"/>
      <c r="D35" s="188"/>
      <c r="E35" s="196"/>
      <c r="F35" s="191"/>
      <c r="G35" s="191"/>
      <c r="H35" s="191"/>
      <c r="I35" s="191"/>
      <c r="J35" s="191"/>
      <c r="K35" s="191"/>
      <c r="L35" s="191"/>
      <c r="M35" s="191"/>
      <c r="N35" s="197"/>
      <c r="O35" s="66"/>
    </row>
    <row r="36" spans="2:14" ht="12.75">
      <c r="B36" s="11" t="str">
        <f>'Beh smlouvy'!B19</f>
        <v>Cena Vozokm neujetého Spoje (pokud důvod pro neujetí nebyl na straně Dopravce)</v>
      </c>
      <c r="D36" s="54"/>
      <c r="E36" s="101"/>
      <c r="F36" s="54"/>
      <c r="G36" s="54"/>
      <c r="H36" s="54"/>
      <c r="I36" s="54"/>
      <c r="J36" s="54"/>
      <c r="K36" s="54"/>
      <c r="L36" s="54"/>
      <c r="M36" s="54"/>
      <c r="N36" s="102"/>
    </row>
    <row r="37" spans="2:14" ht="12.75" outlineLevel="1">
      <c r="B37" s="53" t="s">
        <v>35</v>
      </c>
      <c r="C37" s="53" t="s">
        <v>65</v>
      </c>
      <c r="D37" s="54"/>
      <c r="E37" s="84"/>
      <c r="F37" s="186"/>
      <c r="G37" s="186"/>
      <c r="H37" s="186"/>
      <c r="I37" s="186"/>
      <c r="J37" s="186"/>
      <c r="K37" s="186"/>
      <c r="L37" s="186"/>
      <c r="M37" s="186"/>
      <c r="N37" s="195"/>
    </row>
    <row r="38" spans="2:14" ht="12.75" outlineLevel="1">
      <c r="B38" s="56" t="s">
        <v>22</v>
      </c>
      <c r="C38" s="47" t="s">
        <v>125</v>
      </c>
      <c r="D38" s="193"/>
      <c r="E38" s="120">
        <f>'NABIDKA DOPRAVCE'!$K11*'Vypocty indexu'!E19*('Cenova nabidka CNG'!$G7+'Cenova nabidka CNG'!$H7)</f>
        <v>0</v>
      </c>
      <c r="F38" s="120">
        <f>'NABIDKA DOPRAVCE'!$K11*'Vypocty indexu'!F19*('Cenova nabidka CNG'!$G7+'Cenova nabidka CNG'!$H7)</f>
        <v>0</v>
      </c>
      <c r="G38" s="120">
        <f>'NABIDKA DOPRAVCE'!$K11*'Vypocty indexu'!G19*('Cenova nabidka CNG'!$G7+'Cenova nabidka CNG'!$H7)</f>
        <v>0</v>
      </c>
      <c r="H38" s="120">
        <f>'NABIDKA DOPRAVCE'!$K11*'Vypocty indexu'!H19*('Cenova nabidka CNG'!$G7+'Cenova nabidka CNG'!$H7)</f>
        <v>0</v>
      </c>
      <c r="I38" s="120">
        <f>'NABIDKA DOPRAVCE'!$K11*'Vypocty indexu'!I19*('Cenova nabidka CNG'!$G7+'Cenova nabidka CNG'!$H7)</f>
        <v>0</v>
      </c>
      <c r="J38" s="120">
        <f>'NABIDKA DOPRAVCE'!$K11*'Vypocty indexu'!J19*('Cenova nabidka CNG'!$G7+'Cenova nabidka CNG'!$H7)</f>
        <v>0</v>
      </c>
      <c r="K38" s="120">
        <f>'NABIDKA DOPRAVCE'!$K11*'Vypocty indexu'!K19*('Cenova nabidka CNG'!$G7+'Cenova nabidka CNG'!$H7)</f>
        <v>0</v>
      </c>
      <c r="L38" s="120">
        <f>'NABIDKA DOPRAVCE'!$K11*'Vypocty indexu'!L19*('Cenova nabidka CNG'!$G7+'Cenova nabidka CNG'!$H7)</f>
        <v>0</v>
      </c>
      <c r="M38" s="120">
        <f>'NABIDKA DOPRAVCE'!$K11*'Vypocty indexu'!M19*('Cenova nabidka CNG'!$G7+'Cenova nabidka CNG'!$H7)</f>
        <v>0</v>
      </c>
      <c r="N38" s="120">
        <f>'NABIDKA DOPRAVCE'!$K11*'Vypocty indexu'!N19*('Cenova nabidka CNG'!$G7+'Cenova nabidka CNG'!$H7)</f>
        <v>0</v>
      </c>
    </row>
    <row r="39" spans="2:14" ht="12.75" outlineLevel="1">
      <c r="B39" s="56" t="s">
        <v>23</v>
      </c>
      <c r="C39" s="47" t="s">
        <v>126</v>
      </c>
      <c r="D39" s="193"/>
      <c r="E39" s="120">
        <f>'NABIDKA DOPRAVCE'!$K12*'Vypocty indexu'!E20*('Cenova nabidka CNG'!$G8+'Cenova nabidka CNG'!$H8)</f>
        <v>0</v>
      </c>
      <c r="F39" s="120">
        <f>'NABIDKA DOPRAVCE'!$K12*'Vypocty indexu'!F20*('Cenova nabidka CNG'!$G8+'Cenova nabidka CNG'!$H8)</f>
        <v>0</v>
      </c>
      <c r="G39" s="120">
        <f>'NABIDKA DOPRAVCE'!$K12*'Vypocty indexu'!G20*('Cenova nabidka CNG'!$G8+'Cenova nabidka CNG'!$H8)</f>
        <v>0</v>
      </c>
      <c r="H39" s="120">
        <f>'NABIDKA DOPRAVCE'!$K12*'Vypocty indexu'!H20*('Cenova nabidka CNG'!$G8+'Cenova nabidka CNG'!$H8)</f>
        <v>0</v>
      </c>
      <c r="I39" s="120">
        <f>'NABIDKA DOPRAVCE'!$K12*'Vypocty indexu'!I20*('Cenova nabidka CNG'!$G8+'Cenova nabidka CNG'!$H8)</f>
        <v>0</v>
      </c>
      <c r="J39" s="120">
        <f>'NABIDKA DOPRAVCE'!$K12*'Vypocty indexu'!J20*('Cenova nabidka CNG'!$G8+'Cenova nabidka CNG'!$H8)</f>
        <v>0</v>
      </c>
      <c r="K39" s="120">
        <f>'NABIDKA DOPRAVCE'!$K12*'Vypocty indexu'!K20*('Cenova nabidka CNG'!$G8+'Cenova nabidka CNG'!$H8)</f>
        <v>0</v>
      </c>
      <c r="L39" s="120">
        <f>'NABIDKA DOPRAVCE'!$K12*'Vypocty indexu'!L20*('Cenova nabidka CNG'!$G8+'Cenova nabidka CNG'!$H8)</f>
        <v>0</v>
      </c>
      <c r="M39" s="120">
        <f>'NABIDKA DOPRAVCE'!$K12*'Vypocty indexu'!M20*('Cenova nabidka CNG'!$G8+'Cenova nabidka CNG'!$H8)</f>
        <v>0</v>
      </c>
      <c r="N39" s="120">
        <f>'NABIDKA DOPRAVCE'!$K12*'Vypocty indexu'!N20*('Cenova nabidka CNG'!$G8+'Cenova nabidka CNG'!$H8)</f>
        <v>0</v>
      </c>
    </row>
    <row r="40" spans="2:14" ht="12.75" outlineLevel="1">
      <c r="B40" s="56" t="s">
        <v>24</v>
      </c>
      <c r="C40" s="47" t="s">
        <v>262</v>
      </c>
      <c r="D40" s="193"/>
      <c r="E40" s="120">
        <f>'NABIDKA DOPRAVCE'!$K13*'Vypocty indexu'!E21*('Cenova nabidka CNG'!$G9+'Cenova nabidka CNG'!$H9)</f>
        <v>0</v>
      </c>
      <c r="F40" s="120">
        <f>'NABIDKA DOPRAVCE'!$K13*'Vypocty indexu'!F21*('Cenova nabidka CNG'!$G9+'Cenova nabidka CNG'!$H9)</f>
        <v>0</v>
      </c>
      <c r="G40" s="120">
        <f>'NABIDKA DOPRAVCE'!$K13*'Vypocty indexu'!G21*('Cenova nabidka CNG'!$G9+'Cenova nabidka CNG'!$H9)</f>
        <v>0</v>
      </c>
      <c r="H40" s="120">
        <f>'NABIDKA DOPRAVCE'!$K13*'Vypocty indexu'!H21*('Cenova nabidka CNG'!$G9+'Cenova nabidka CNG'!$H9)</f>
        <v>0</v>
      </c>
      <c r="I40" s="120">
        <f>'NABIDKA DOPRAVCE'!$K13*'Vypocty indexu'!I21*('Cenova nabidka CNG'!$G9+'Cenova nabidka CNG'!$H9)</f>
        <v>0</v>
      </c>
      <c r="J40" s="120">
        <f>'NABIDKA DOPRAVCE'!$K13*'Vypocty indexu'!J21*('Cenova nabidka CNG'!$G9+'Cenova nabidka CNG'!$H9)</f>
        <v>0</v>
      </c>
      <c r="K40" s="120">
        <f>'NABIDKA DOPRAVCE'!$K13*'Vypocty indexu'!K21*('Cenova nabidka CNG'!$G9+'Cenova nabidka CNG'!$H9)</f>
        <v>0</v>
      </c>
      <c r="L40" s="120">
        <f>'NABIDKA DOPRAVCE'!$K13*'Vypocty indexu'!L21*('Cenova nabidka CNG'!$G9+'Cenova nabidka CNG'!$H9)</f>
        <v>0</v>
      </c>
      <c r="M40" s="120">
        <f>'NABIDKA DOPRAVCE'!$K13*'Vypocty indexu'!M21*('Cenova nabidka CNG'!$G9+'Cenova nabidka CNG'!$H9)</f>
        <v>0</v>
      </c>
      <c r="N40" s="120">
        <f>'NABIDKA DOPRAVCE'!$K13*'Vypocty indexu'!N21*('Cenova nabidka CNG'!$G9+'Cenova nabidka CNG'!$H9)</f>
        <v>0</v>
      </c>
    </row>
    <row r="41" spans="2:14" ht="12.75" outlineLevel="1">
      <c r="B41" s="56" t="s">
        <v>123</v>
      </c>
      <c r="C41" s="47" t="s">
        <v>127</v>
      </c>
      <c r="D41" s="193"/>
      <c r="E41" s="120">
        <f>'NABIDKA DOPRAVCE'!$K14*'Vypocty indexu'!E22*('Cenova nabidka CNG'!$G10+'Cenova nabidka CNG'!$H10)</f>
        <v>0</v>
      </c>
      <c r="F41" s="120">
        <f>'NABIDKA DOPRAVCE'!$K14*'Vypocty indexu'!F22*('Cenova nabidka CNG'!$G10+'Cenova nabidka CNG'!$H10)</f>
        <v>0</v>
      </c>
      <c r="G41" s="120">
        <f>'NABIDKA DOPRAVCE'!$K14*'Vypocty indexu'!G22*('Cenova nabidka CNG'!$G10+'Cenova nabidka CNG'!$H10)</f>
        <v>0</v>
      </c>
      <c r="H41" s="120">
        <f>'NABIDKA DOPRAVCE'!$K14*'Vypocty indexu'!H22*('Cenova nabidka CNG'!$G10+'Cenova nabidka CNG'!$H10)</f>
        <v>0</v>
      </c>
      <c r="I41" s="120">
        <f>'NABIDKA DOPRAVCE'!$K14*'Vypocty indexu'!I22*('Cenova nabidka CNG'!$G10+'Cenova nabidka CNG'!$H10)</f>
        <v>0</v>
      </c>
      <c r="J41" s="120">
        <f>'NABIDKA DOPRAVCE'!$K14*'Vypocty indexu'!J22*('Cenova nabidka CNG'!$G10+'Cenova nabidka CNG'!$H10)</f>
        <v>0</v>
      </c>
      <c r="K41" s="120">
        <f>'NABIDKA DOPRAVCE'!$K14*'Vypocty indexu'!K22*('Cenova nabidka CNG'!$G10+'Cenova nabidka CNG'!$H10)</f>
        <v>0</v>
      </c>
      <c r="L41" s="120">
        <f>'NABIDKA DOPRAVCE'!$K14*'Vypocty indexu'!L22*('Cenova nabidka CNG'!$G10+'Cenova nabidka CNG'!$H10)</f>
        <v>0</v>
      </c>
      <c r="M41" s="120">
        <f>'NABIDKA DOPRAVCE'!$K14*'Vypocty indexu'!M22*('Cenova nabidka CNG'!$G10+'Cenova nabidka CNG'!$H10)</f>
        <v>0</v>
      </c>
      <c r="N41" s="120">
        <f>'NABIDKA DOPRAVCE'!$K14*'Vypocty indexu'!N22*('Cenova nabidka CNG'!$G10+'Cenova nabidka CNG'!$H10)</f>
        <v>0</v>
      </c>
    </row>
    <row r="42" spans="2:14" ht="12.75" outlineLevel="1">
      <c r="B42" s="56">
        <v>12</v>
      </c>
      <c r="C42" s="47" t="s">
        <v>8</v>
      </c>
      <c r="D42" s="193"/>
      <c r="E42" s="120">
        <f>'NABIDKA DOPRAVCE'!$K15*'Vypocty indexu'!E23*('Cenova nabidka CNG'!$G11+'Cenova nabidka CNG'!$H11)</f>
        <v>0</v>
      </c>
      <c r="F42" s="120">
        <f>'NABIDKA DOPRAVCE'!$K15*'Vypocty indexu'!F23*('Cenova nabidka CNG'!$G11+'Cenova nabidka CNG'!$H11)</f>
        <v>0</v>
      </c>
      <c r="G42" s="120">
        <f>'NABIDKA DOPRAVCE'!$K15*'Vypocty indexu'!G23*('Cenova nabidka CNG'!$G11+'Cenova nabidka CNG'!$H11)</f>
        <v>0</v>
      </c>
      <c r="H42" s="120">
        <f>'NABIDKA DOPRAVCE'!$K15*'Vypocty indexu'!H23*('Cenova nabidka CNG'!$G11+'Cenova nabidka CNG'!$H11)</f>
        <v>0</v>
      </c>
      <c r="I42" s="120">
        <f>'NABIDKA DOPRAVCE'!$K15*'Vypocty indexu'!I23*('Cenova nabidka CNG'!$G11+'Cenova nabidka CNG'!$H11)</f>
        <v>0</v>
      </c>
      <c r="J42" s="120">
        <f>'NABIDKA DOPRAVCE'!$K15*'Vypocty indexu'!J23*('Cenova nabidka CNG'!$G11+'Cenova nabidka CNG'!$H11)</f>
        <v>0</v>
      </c>
      <c r="K42" s="120">
        <f>'NABIDKA DOPRAVCE'!$K15*'Vypocty indexu'!K23*('Cenova nabidka CNG'!$G11+'Cenova nabidka CNG'!$H11)</f>
        <v>0</v>
      </c>
      <c r="L42" s="120">
        <f>'NABIDKA DOPRAVCE'!$K15*'Vypocty indexu'!L23*('Cenova nabidka CNG'!$G11+'Cenova nabidka CNG'!$H11)</f>
        <v>0</v>
      </c>
      <c r="M42" s="120">
        <f>'NABIDKA DOPRAVCE'!$K15*'Vypocty indexu'!M23*('Cenova nabidka CNG'!$G11+'Cenova nabidka CNG'!$H11)</f>
        <v>0</v>
      </c>
      <c r="N42" s="120">
        <f>'NABIDKA DOPRAVCE'!$K15*'Vypocty indexu'!N23*('Cenova nabidka CNG'!$G11+'Cenova nabidka CNG'!$H11)</f>
        <v>0</v>
      </c>
    </row>
    <row r="43" spans="2:14" ht="12.75" outlineLevel="1">
      <c r="B43" s="56">
        <v>13</v>
      </c>
      <c r="C43" s="47" t="s">
        <v>9</v>
      </c>
      <c r="D43" s="193"/>
      <c r="E43" s="120">
        <f>'NABIDKA DOPRAVCE'!$K16*'Vypocty indexu'!E24*('Cenova nabidka CNG'!$G12+'Cenova nabidka CNG'!$H12)</f>
        <v>0</v>
      </c>
      <c r="F43" s="120">
        <f>'NABIDKA DOPRAVCE'!$K16*'Vypocty indexu'!F24*('Cenova nabidka CNG'!$G12+'Cenova nabidka CNG'!$H12)</f>
        <v>0</v>
      </c>
      <c r="G43" s="120">
        <f>'NABIDKA DOPRAVCE'!$K16*'Vypocty indexu'!G24*('Cenova nabidka CNG'!$G12+'Cenova nabidka CNG'!$H12)</f>
        <v>0</v>
      </c>
      <c r="H43" s="120">
        <f>'NABIDKA DOPRAVCE'!$K16*'Vypocty indexu'!H24*('Cenova nabidka CNG'!$G12+'Cenova nabidka CNG'!$H12)</f>
        <v>0</v>
      </c>
      <c r="I43" s="120">
        <f>'NABIDKA DOPRAVCE'!$K16*'Vypocty indexu'!I24*('Cenova nabidka CNG'!$G12+'Cenova nabidka CNG'!$H12)</f>
        <v>0</v>
      </c>
      <c r="J43" s="120">
        <f>'NABIDKA DOPRAVCE'!$K16*'Vypocty indexu'!J24*('Cenova nabidka CNG'!$G12+'Cenova nabidka CNG'!$H12)</f>
        <v>0</v>
      </c>
      <c r="K43" s="120">
        <f>'NABIDKA DOPRAVCE'!$K16*'Vypocty indexu'!K24*('Cenova nabidka CNG'!$G12+'Cenova nabidka CNG'!$H12)</f>
        <v>0</v>
      </c>
      <c r="L43" s="120">
        <f>'NABIDKA DOPRAVCE'!$K16*'Vypocty indexu'!L24*('Cenova nabidka CNG'!$G12+'Cenova nabidka CNG'!$H12)</f>
        <v>0</v>
      </c>
      <c r="M43" s="120">
        <f>'NABIDKA DOPRAVCE'!$K16*'Vypocty indexu'!M24*('Cenova nabidka CNG'!$G12+'Cenova nabidka CNG'!$H12)</f>
        <v>0</v>
      </c>
      <c r="N43" s="120">
        <f>'NABIDKA DOPRAVCE'!$K16*'Vypocty indexu'!N24*('Cenova nabidka CNG'!$G12+'Cenova nabidka CNG'!$H12)</f>
        <v>0</v>
      </c>
    </row>
    <row r="44" spans="2:14" ht="12.75" outlineLevel="1">
      <c r="B44" s="56" t="s">
        <v>28</v>
      </c>
      <c r="C44" s="47" t="s">
        <v>59</v>
      </c>
      <c r="D44" s="193"/>
      <c r="E44" s="120">
        <f>'NABIDKA DOPRAVCE'!$K17*'Vypocty indexu'!E25*('Cenova nabidka CNG'!$G13+'Cenova nabidka CNG'!$H13)</f>
        <v>7.244513079278057</v>
      </c>
      <c r="F44" s="120">
        <f>'NABIDKA DOPRAVCE'!$K17*'Vypocty indexu'!F25*('Cenova nabidka CNG'!$G13+'Cenova nabidka CNG'!$H13)</f>
        <v>0</v>
      </c>
      <c r="G44" s="120">
        <f>'NABIDKA DOPRAVCE'!$K17*'Vypocty indexu'!G25*('Cenova nabidka CNG'!$G13+'Cenova nabidka CNG'!$H13)</f>
        <v>0</v>
      </c>
      <c r="H44" s="120">
        <f>'NABIDKA DOPRAVCE'!$K17*'Vypocty indexu'!H25*('Cenova nabidka CNG'!$G13+'Cenova nabidka CNG'!$H13)</f>
        <v>0</v>
      </c>
      <c r="I44" s="120">
        <f>'NABIDKA DOPRAVCE'!$K17*'Vypocty indexu'!I25*('Cenova nabidka CNG'!$G13+'Cenova nabidka CNG'!$H13)</f>
        <v>0</v>
      </c>
      <c r="J44" s="120">
        <f>'NABIDKA DOPRAVCE'!$K17*'Vypocty indexu'!J25*('Cenova nabidka CNG'!$G13+'Cenova nabidka CNG'!$H13)</f>
        <v>0</v>
      </c>
      <c r="K44" s="120">
        <f>'NABIDKA DOPRAVCE'!$K17*'Vypocty indexu'!K25*('Cenova nabidka CNG'!$G13+'Cenova nabidka CNG'!$H13)</f>
        <v>0</v>
      </c>
      <c r="L44" s="120">
        <f>'NABIDKA DOPRAVCE'!$K17*'Vypocty indexu'!L25*('Cenova nabidka CNG'!$G13+'Cenova nabidka CNG'!$H13)</f>
        <v>0</v>
      </c>
      <c r="M44" s="120">
        <f>'NABIDKA DOPRAVCE'!$K17*'Vypocty indexu'!M25*('Cenova nabidka CNG'!$G13+'Cenova nabidka CNG'!$H13)</f>
        <v>0</v>
      </c>
      <c r="N44" s="120">
        <f>'NABIDKA DOPRAVCE'!$K17*'Vypocty indexu'!N25*('Cenova nabidka CNG'!$G13+'Cenova nabidka CNG'!$H13)</f>
        <v>0</v>
      </c>
    </row>
    <row r="45" spans="2:14" ht="12.75" outlineLevel="1">
      <c r="B45" s="56" t="s">
        <v>29</v>
      </c>
      <c r="C45" s="47" t="s">
        <v>60</v>
      </c>
      <c r="D45" s="193"/>
      <c r="E45" s="120">
        <f>'NABIDKA DOPRAVCE'!$K18*'Vypocty indexu'!E26*('Cenova nabidka CNG'!$G14+'Cenova nabidka CNG'!$H14)</f>
        <v>0.07608223264610665</v>
      </c>
      <c r="F45" s="120">
        <f>'NABIDKA DOPRAVCE'!$K18*'Vypocty indexu'!F26*('Cenova nabidka CNG'!$G14+'Cenova nabidka CNG'!$H14)</f>
        <v>0</v>
      </c>
      <c r="G45" s="120">
        <f>'NABIDKA DOPRAVCE'!$K18*'Vypocty indexu'!G26*('Cenova nabidka CNG'!$G14+'Cenova nabidka CNG'!$H14)</f>
        <v>0</v>
      </c>
      <c r="H45" s="120">
        <f>'NABIDKA DOPRAVCE'!$K18*'Vypocty indexu'!H26*('Cenova nabidka CNG'!$G14+'Cenova nabidka CNG'!$H14)</f>
        <v>0</v>
      </c>
      <c r="I45" s="120">
        <f>'NABIDKA DOPRAVCE'!$K18*'Vypocty indexu'!I26*('Cenova nabidka CNG'!$G14+'Cenova nabidka CNG'!$H14)</f>
        <v>0</v>
      </c>
      <c r="J45" s="120">
        <f>'NABIDKA DOPRAVCE'!$K18*'Vypocty indexu'!J26*('Cenova nabidka CNG'!$G14+'Cenova nabidka CNG'!$H14)</f>
        <v>0</v>
      </c>
      <c r="K45" s="120">
        <f>'NABIDKA DOPRAVCE'!$K18*'Vypocty indexu'!K26*('Cenova nabidka CNG'!$G14+'Cenova nabidka CNG'!$H14)</f>
        <v>0</v>
      </c>
      <c r="L45" s="120">
        <f>'NABIDKA DOPRAVCE'!$K18*'Vypocty indexu'!L26*('Cenova nabidka CNG'!$G14+'Cenova nabidka CNG'!$H14)</f>
        <v>0</v>
      </c>
      <c r="M45" s="120">
        <f>'NABIDKA DOPRAVCE'!$K18*'Vypocty indexu'!M26*('Cenova nabidka CNG'!$G14+'Cenova nabidka CNG'!$H14)</f>
        <v>0</v>
      </c>
      <c r="N45" s="120">
        <f>'NABIDKA DOPRAVCE'!$K18*'Vypocty indexu'!N26*('Cenova nabidka CNG'!$G14+'Cenova nabidka CNG'!$H14)</f>
        <v>0</v>
      </c>
    </row>
    <row r="46" spans="2:14" ht="12.75" outlineLevel="1">
      <c r="B46" s="56">
        <v>15</v>
      </c>
      <c r="C46" s="47" t="s">
        <v>42</v>
      </c>
      <c r="D46" s="193"/>
      <c r="E46" s="120">
        <f>'NABIDKA DOPRAVCE'!$K19*'Vypocty indexu'!E27*('Cenova nabidka CNG'!$G15+'Cenova nabidka CNG'!$H15)</f>
        <v>0</v>
      </c>
      <c r="F46" s="120">
        <f>'NABIDKA DOPRAVCE'!$K19*'Vypocty indexu'!F27*('Cenova nabidka CNG'!$G15+'Cenova nabidka CNG'!$H15)</f>
        <v>0</v>
      </c>
      <c r="G46" s="120">
        <f>'NABIDKA DOPRAVCE'!$K19*'Vypocty indexu'!G27*('Cenova nabidka CNG'!$G15+'Cenova nabidka CNG'!$H15)</f>
        <v>0</v>
      </c>
      <c r="H46" s="120">
        <f>'NABIDKA DOPRAVCE'!$K19*'Vypocty indexu'!H27*('Cenova nabidka CNG'!$G15+'Cenova nabidka CNG'!$H15)</f>
        <v>0</v>
      </c>
      <c r="I46" s="120">
        <f>'NABIDKA DOPRAVCE'!$K19*'Vypocty indexu'!I27*('Cenova nabidka CNG'!$G15+'Cenova nabidka CNG'!$H15)</f>
        <v>0</v>
      </c>
      <c r="J46" s="120">
        <f>'NABIDKA DOPRAVCE'!$K19*'Vypocty indexu'!J27*('Cenova nabidka CNG'!$G15+'Cenova nabidka CNG'!$H15)</f>
        <v>0</v>
      </c>
      <c r="K46" s="120">
        <f>'NABIDKA DOPRAVCE'!$K19*'Vypocty indexu'!K27*('Cenova nabidka CNG'!$G15+'Cenova nabidka CNG'!$H15)</f>
        <v>0</v>
      </c>
      <c r="L46" s="120">
        <f>'NABIDKA DOPRAVCE'!$K19*'Vypocty indexu'!L27*('Cenova nabidka CNG'!$G15+'Cenova nabidka CNG'!$H15)</f>
        <v>0</v>
      </c>
      <c r="M46" s="120">
        <f>'NABIDKA DOPRAVCE'!$K19*'Vypocty indexu'!M27*('Cenova nabidka CNG'!$G15+'Cenova nabidka CNG'!$H15)</f>
        <v>0</v>
      </c>
      <c r="N46" s="120">
        <f>'NABIDKA DOPRAVCE'!$K19*'Vypocty indexu'!N27*('Cenova nabidka CNG'!$G15+'Cenova nabidka CNG'!$H15)</f>
        <v>0</v>
      </c>
    </row>
    <row r="47" spans="2:14" ht="12.75" outlineLevel="1">
      <c r="B47" s="56" t="s">
        <v>30</v>
      </c>
      <c r="C47" s="47" t="s">
        <v>61</v>
      </c>
      <c r="D47" s="193"/>
      <c r="E47" s="120">
        <f>'NABIDKA DOPRAVCE'!$K20*'Vypocty indexu'!E28*('Cenova nabidka CNG'!$G16+'Cenova nabidka CNG'!$H16)</f>
        <v>2.0281667559241154</v>
      </c>
      <c r="F47" s="120">
        <f>'NABIDKA DOPRAVCE'!$K20*'Vypocty indexu'!F28*('Cenova nabidka CNG'!$G16+'Cenova nabidka CNG'!$H16)</f>
        <v>0</v>
      </c>
      <c r="G47" s="120">
        <f>'NABIDKA DOPRAVCE'!$K20*'Vypocty indexu'!G28*('Cenova nabidka CNG'!$G16+'Cenova nabidka CNG'!$H16)</f>
        <v>0</v>
      </c>
      <c r="H47" s="120">
        <f>'NABIDKA DOPRAVCE'!$K20*'Vypocty indexu'!H28*('Cenova nabidka CNG'!$G16+'Cenova nabidka CNG'!$H16)</f>
        <v>0</v>
      </c>
      <c r="I47" s="120">
        <f>'NABIDKA DOPRAVCE'!$K20*'Vypocty indexu'!I28*('Cenova nabidka CNG'!$G16+'Cenova nabidka CNG'!$H16)</f>
        <v>0</v>
      </c>
      <c r="J47" s="120">
        <f>'NABIDKA DOPRAVCE'!$K20*'Vypocty indexu'!J28*('Cenova nabidka CNG'!$G16+'Cenova nabidka CNG'!$H16)</f>
        <v>0</v>
      </c>
      <c r="K47" s="120">
        <f>'NABIDKA DOPRAVCE'!$K20*'Vypocty indexu'!K28*('Cenova nabidka CNG'!$G16+'Cenova nabidka CNG'!$H16)</f>
        <v>0</v>
      </c>
      <c r="L47" s="120">
        <f>'NABIDKA DOPRAVCE'!$K20*'Vypocty indexu'!L28*('Cenova nabidka CNG'!$G16+'Cenova nabidka CNG'!$H16)</f>
        <v>0</v>
      </c>
      <c r="M47" s="120">
        <f>'NABIDKA DOPRAVCE'!$K20*'Vypocty indexu'!M28*('Cenova nabidka CNG'!$G16+'Cenova nabidka CNG'!$H16)</f>
        <v>0</v>
      </c>
      <c r="N47" s="120">
        <f>'NABIDKA DOPRAVCE'!$K20*'Vypocty indexu'!N28*('Cenova nabidka CNG'!$G16+'Cenova nabidka CNG'!$H16)</f>
        <v>0</v>
      </c>
    </row>
    <row r="48" spans="2:14" ht="12.75" outlineLevel="1">
      <c r="B48" s="56" t="s">
        <v>31</v>
      </c>
      <c r="C48" s="47" t="s">
        <v>62</v>
      </c>
      <c r="D48" s="193"/>
      <c r="E48" s="120">
        <f>'NABIDKA DOPRAVCE'!$K21*'Vypocty indexu'!E29*('Cenova nabidka CNG'!$G17+'Cenova nabidka CNG'!$H17)</f>
        <v>0.07348430275087373</v>
      </c>
      <c r="F48" s="120">
        <f>'NABIDKA DOPRAVCE'!$K21*'Vypocty indexu'!F29*('Cenova nabidka CNG'!$G17+'Cenova nabidka CNG'!$H17)</f>
        <v>0</v>
      </c>
      <c r="G48" s="120">
        <f>'NABIDKA DOPRAVCE'!$K21*'Vypocty indexu'!G29*('Cenova nabidka CNG'!$G17+'Cenova nabidka CNG'!$H17)</f>
        <v>0</v>
      </c>
      <c r="H48" s="120">
        <f>'NABIDKA DOPRAVCE'!$K21*'Vypocty indexu'!H29*('Cenova nabidka CNG'!$G17+'Cenova nabidka CNG'!$H17)</f>
        <v>0</v>
      </c>
      <c r="I48" s="120">
        <f>'NABIDKA DOPRAVCE'!$K21*'Vypocty indexu'!I29*('Cenova nabidka CNG'!$G17+'Cenova nabidka CNG'!$H17)</f>
        <v>0</v>
      </c>
      <c r="J48" s="120">
        <f>'NABIDKA DOPRAVCE'!$K21*'Vypocty indexu'!J29*('Cenova nabidka CNG'!$G17+'Cenova nabidka CNG'!$H17)</f>
        <v>0</v>
      </c>
      <c r="K48" s="120">
        <f>'NABIDKA DOPRAVCE'!$K21*'Vypocty indexu'!K29*('Cenova nabidka CNG'!$G17+'Cenova nabidka CNG'!$H17)</f>
        <v>0</v>
      </c>
      <c r="L48" s="120">
        <f>'NABIDKA DOPRAVCE'!$K21*'Vypocty indexu'!L29*('Cenova nabidka CNG'!$G17+'Cenova nabidka CNG'!$H17)</f>
        <v>0</v>
      </c>
      <c r="M48" s="120">
        <f>'NABIDKA DOPRAVCE'!$K21*'Vypocty indexu'!M29*('Cenova nabidka CNG'!$G17+'Cenova nabidka CNG'!$H17)</f>
        <v>0</v>
      </c>
      <c r="N48" s="120">
        <f>'NABIDKA DOPRAVCE'!$K21*'Vypocty indexu'!N29*('Cenova nabidka CNG'!$G17+'Cenova nabidka CNG'!$H17)</f>
        <v>0</v>
      </c>
    </row>
    <row r="49" spans="2:14" ht="12.75" outlineLevel="1">
      <c r="B49" s="56" t="s">
        <v>40</v>
      </c>
      <c r="C49" s="47" t="s">
        <v>63</v>
      </c>
      <c r="D49" s="193"/>
      <c r="E49" s="120">
        <f>'NABIDKA DOPRAVCE'!$K22*'Vypocty indexu'!E30*('Cenova nabidka CNG'!$G18+'Cenova nabidka CNG'!$H18)</f>
        <v>0.6895766970141993</v>
      </c>
      <c r="F49" s="120">
        <f>'NABIDKA DOPRAVCE'!$K22*'Vypocty indexu'!F30*('Cenova nabidka CNG'!$G18+'Cenova nabidka CNG'!$H18)</f>
        <v>0</v>
      </c>
      <c r="G49" s="120">
        <f>'NABIDKA DOPRAVCE'!$K22*'Vypocty indexu'!G30*('Cenova nabidka CNG'!$G18+'Cenova nabidka CNG'!$H18)</f>
        <v>0</v>
      </c>
      <c r="H49" s="120">
        <f>'NABIDKA DOPRAVCE'!$K22*'Vypocty indexu'!H30*('Cenova nabidka CNG'!$G18+'Cenova nabidka CNG'!$H18)</f>
        <v>0</v>
      </c>
      <c r="I49" s="120">
        <f>'NABIDKA DOPRAVCE'!$K22*'Vypocty indexu'!I30*('Cenova nabidka CNG'!$G18+'Cenova nabidka CNG'!$H18)</f>
        <v>0</v>
      </c>
      <c r="J49" s="120">
        <f>'NABIDKA DOPRAVCE'!$K22*'Vypocty indexu'!J30*('Cenova nabidka CNG'!$G18+'Cenova nabidka CNG'!$H18)</f>
        <v>0</v>
      </c>
      <c r="K49" s="120">
        <f>'NABIDKA DOPRAVCE'!$K22*'Vypocty indexu'!K30*('Cenova nabidka CNG'!$G18+'Cenova nabidka CNG'!$H18)</f>
        <v>0</v>
      </c>
      <c r="L49" s="120">
        <f>'NABIDKA DOPRAVCE'!$K22*'Vypocty indexu'!L30*('Cenova nabidka CNG'!$G18+'Cenova nabidka CNG'!$H18)</f>
        <v>0</v>
      </c>
      <c r="M49" s="120">
        <f>'NABIDKA DOPRAVCE'!$K22*'Vypocty indexu'!M30*('Cenova nabidka CNG'!$G18+'Cenova nabidka CNG'!$H18)</f>
        <v>0</v>
      </c>
      <c r="N49" s="120">
        <f>'NABIDKA DOPRAVCE'!$K22*'Vypocty indexu'!N30*('Cenova nabidka CNG'!$G18+'Cenova nabidka CNG'!$H18)</f>
        <v>0</v>
      </c>
    </row>
    <row r="50" spans="2:14" ht="12.75" outlineLevel="1">
      <c r="B50" s="56" t="s">
        <v>41</v>
      </c>
      <c r="C50" s="47" t="s">
        <v>64</v>
      </c>
      <c r="D50" s="193"/>
      <c r="E50" s="120">
        <f>'NABIDKA DOPRAVCE'!$K23*'Vypocty indexu'!E31*('Cenova nabidka CNG'!$G19+'Cenova nabidka CNG'!$H19)</f>
        <v>0.02498466293529707</v>
      </c>
      <c r="F50" s="120">
        <f>'NABIDKA DOPRAVCE'!$K23*'Vypocty indexu'!F31*('Cenova nabidka CNG'!$G19+'Cenova nabidka CNG'!$H19)</f>
        <v>0</v>
      </c>
      <c r="G50" s="120">
        <f>'NABIDKA DOPRAVCE'!$K23*'Vypocty indexu'!G31*('Cenova nabidka CNG'!$G19+'Cenova nabidka CNG'!$H19)</f>
        <v>0</v>
      </c>
      <c r="H50" s="120">
        <f>'NABIDKA DOPRAVCE'!$K23*'Vypocty indexu'!H31*('Cenova nabidka CNG'!$G19+'Cenova nabidka CNG'!$H19)</f>
        <v>0</v>
      </c>
      <c r="I50" s="120">
        <f>'NABIDKA DOPRAVCE'!$K23*'Vypocty indexu'!I31*('Cenova nabidka CNG'!$G19+'Cenova nabidka CNG'!$H19)</f>
        <v>0</v>
      </c>
      <c r="J50" s="120">
        <f>'NABIDKA DOPRAVCE'!$K23*'Vypocty indexu'!J31*('Cenova nabidka CNG'!$G19+'Cenova nabidka CNG'!$H19)</f>
        <v>0</v>
      </c>
      <c r="K50" s="120">
        <f>'NABIDKA DOPRAVCE'!$K23*'Vypocty indexu'!K31*('Cenova nabidka CNG'!$G19+'Cenova nabidka CNG'!$H19)</f>
        <v>0</v>
      </c>
      <c r="L50" s="120">
        <f>'NABIDKA DOPRAVCE'!$K23*'Vypocty indexu'!L31*('Cenova nabidka CNG'!$G19+'Cenova nabidka CNG'!$H19)</f>
        <v>0</v>
      </c>
      <c r="M50" s="120">
        <f>'NABIDKA DOPRAVCE'!$K23*'Vypocty indexu'!M31*('Cenova nabidka CNG'!$G19+'Cenova nabidka CNG'!$H19)</f>
        <v>0</v>
      </c>
      <c r="N50" s="120">
        <f>'NABIDKA DOPRAVCE'!$K23*'Vypocty indexu'!N31*('Cenova nabidka CNG'!$G19+'Cenova nabidka CNG'!$H19)</f>
        <v>0</v>
      </c>
    </row>
    <row r="51" spans="2:14" ht="12.75" outlineLevel="1">
      <c r="B51" s="56">
        <v>18</v>
      </c>
      <c r="C51" s="47" t="s">
        <v>13</v>
      </c>
      <c r="D51" s="193"/>
      <c r="E51" s="120">
        <f>'NABIDKA DOPRAVCE'!$K24*'Vypocty indexu'!E32*('Cenova nabidka CNG'!$G20+'Cenova nabidka CNG'!$H20)</f>
        <v>0.14839999999999998</v>
      </c>
      <c r="F51" s="120">
        <f>'NABIDKA DOPRAVCE'!$K24*'Vypocty indexu'!F32*('Cenova nabidka CNG'!$G20+'Cenova nabidka CNG'!$H20)</f>
        <v>0</v>
      </c>
      <c r="G51" s="120">
        <f>'NABIDKA DOPRAVCE'!$K24*'Vypocty indexu'!G32*('Cenova nabidka CNG'!$G20+'Cenova nabidka CNG'!$H20)</f>
        <v>0</v>
      </c>
      <c r="H51" s="120">
        <f>'NABIDKA DOPRAVCE'!$K24*'Vypocty indexu'!H32*('Cenova nabidka CNG'!$G20+'Cenova nabidka CNG'!$H20)</f>
        <v>0</v>
      </c>
      <c r="I51" s="120">
        <f>'NABIDKA DOPRAVCE'!$K24*'Vypocty indexu'!I32*('Cenova nabidka CNG'!$G20+'Cenova nabidka CNG'!$H20)</f>
        <v>0</v>
      </c>
      <c r="J51" s="120">
        <f>'NABIDKA DOPRAVCE'!$K24*'Vypocty indexu'!J32*('Cenova nabidka CNG'!$G20+'Cenova nabidka CNG'!$H20)</f>
        <v>0</v>
      </c>
      <c r="K51" s="120">
        <f>'NABIDKA DOPRAVCE'!$K24*'Vypocty indexu'!K32*('Cenova nabidka CNG'!$G20+'Cenova nabidka CNG'!$H20)</f>
        <v>0</v>
      </c>
      <c r="L51" s="120">
        <f>'NABIDKA DOPRAVCE'!$K24*'Vypocty indexu'!L32*('Cenova nabidka CNG'!$G20+'Cenova nabidka CNG'!$H20)</f>
        <v>0</v>
      </c>
      <c r="M51" s="120">
        <f>'NABIDKA DOPRAVCE'!$K24*'Vypocty indexu'!M32*('Cenova nabidka CNG'!$G20+'Cenova nabidka CNG'!$H20)</f>
        <v>0</v>
      </c>
      <c r="N51" s="120">
        <f>'NABIDKA DOPRAVCE'!$K24*'Vypocty indexu'!N32*('Cenova nabidka CNG'!$G20+'Cenova nabidka CNG'!$H20)</f>
        <v>0</v>
      </c>
    </row>
    <row r="52" spans="2:14" ht="12.75" outlineLevel="1">
      <c r="B52" s="56">
        <v>19</v>
      </c>
      <c r="C52" s="47" t="s">
        <v>14</v>
      </c>
      <c r="D52" s="193"/>
      <c r="E52" s="120">
        <f>'NABIDKA DOPRAVCE'!$K25*'Vypocty indexu'!E33*('Cenova nabidka CNG'!$G21+'Cenova nabidka CNG'!$H21)</f>
        <v>0</v>
      </c>
      <c r="F52" s="120">
        <f>'NABIDKA DOPRAVCE'!$K25*'Vypocty indexu'!F33*('Cenova nabidka CNG'!$G21+'Cenova nabidka CNG'!$H21)</f>
        <v>0</v>
      </c>
      <c r="G52" s="120">
        <f>'NABIDKA DOPRAVCE'!$K25*'Vypocty indexu'!G33*('Cenova nabidka CNG'!$G21+'Cenova nabidka CNG'!$H21)</f>
        <v>0</v>
      </c>
      <c r="H52" s="120">
        <f>'NABIDKA DOPRAVCE'!$K25*'Vypocty indexu'!H33*('Cenova nabidka CNG'!$G21+'Cenova nabidka CNG'!$H21)</f>
        <v>0</v>
      </c>
      <c r="I52" s="120">
        <f>'NABIDKA DOPRAVCE'!$K25*'Vypocty indexu'!I33*('Cenova nabidka CNG'!$G21+'Cenova nabidka CNG'!$H21)</f>
        <v>0</v>
      </c>
      <c r="J52" s="120">
        <f>'NABIDKA DOPRAVCE'!$K25*'Vypocty indexu'!J33*('Cenova nabidka CNG'!$G21+'Cenova nabidka CNG'!$H21)</f>
        <v>0</v>
      </c>
      <c r="K52" s="120">
        <f>'NABIDKA DOPRAVCE'!$K25*'Vypocty indexu'!K33*('Cenova nabidka CNG'!$G21+'Cenova nabidka CNG'!$H21)</f>
        <v>0</v>
      </c>
      <c r="L52" s="120">
        <f>'NABIDKA DOPRAVCE'!$K25*'Vypocty indexu'!L33*('Cenova nabidka CNG'!$G21+'Cenova nabidka CNG'!$H21)</f>
        <v>0</v>
      </c>
      <c r="M52" s="120">
        <f>'NABIDKA DOPRAVCE'!$K25*'Vypocty indexu'!M33*('Cenova nabidka CNG'!$G21+'Cenova nabidka CNG'!$H21)</f>
        <v>0</v>
      </c>
      <c r="N52" s="120">
        <f>'NABIDKA DOPRAVCE'!$K25*'Vypocty indexu'!N33*('Cenova nabidka CNG'!$G21+'Cenova nabidka CNG'!$H21)</f>
        <v>0</v>
      </c>
    </row>
    <row r="53" spans="2:14" ht="12.75" outlineLevel="1">
      <c r="B53" s="56">
        <v>20</v>
      </c>
      <c r="C53" s="47" t="s">
        <v>15</v>
      </c>
      <c r="D53" s="193"/>
      <c r="E53" s="120">
        <f>'NABIDKA DOPRAVCE'!$K26*'Vypocty indexu'!E34*('Cenova nabidka CNG'!$G22+'Cenova nabidka CNG'!$H22)</f>
        <v>0</v>
      </c>
      <c r="F53" s="120">
        <f>'NABIDKA DOPRAVCE'!$K26*'Vypocty indexu'!F34*('Cenova nabidka CNG'!$G22+'Cenova nabidka CNG'!$H22)</f>
        <v>0</v>
      </c>
      <c r="G53" s="120">
        <f>'NABIDKA DOPRAVCE'!$K26*'Vypocty indexu'!G34*('Cenova nabidka CNG'!$G22+'Cenova nabidka CNG'!$H22)</f>
        <v>0</v>
      </c>
      <c r="H53" s="120">
        <f>'NABIDKA DOPRAVCE'!$K26*'Vypocty indexu'!H34*('Cenova nabidka CNG'!$G22+'Cenova nabidka CNG'!$H22)</f>
        <v>0</v>
      </c>
      <c r="I53" s="120">
        <f>'NABIDKA DOPRAVCE'!$K26*'Vypocty indexu'!I34*('Cenova nabidka CNG'!$G22+'Cenova nabidka CNG'!$H22)</f>
        <v>0</v>
      </c>
      <c r="J53" s="120">
        <f>'NABIDKA DOPRAVCE'!$K26*'Vypocty indexu'!J34*('Cenova nabidka CNG'!$G22+'Cenova nabidka CNG'!$H22)</f>
        <v>0</v>
      </c>
      <c r="K53" s="120">
        <f>'NABIDKA DOPRAVCE'!$K26*'Vypocty indexu'!K34*('Cenova nabidka CNG'!$G22+'Cenova nabidka CNG'!$H22)</f>
        <v>0</v>
      </c>
      <c r="L53" s="120">
        <f>'NABIDKA DOPRAVCE'!$K26*'Vypocty indexu'!L34*('Cenova nabidka CNG'!$G22+'Cenova nabidka CNG'!$H22)</f>
        <v>0</v>
      </c>
      <c r="M53" s="120">
        <f>'NABIDKA DOPRAVCE'!$K26*'Vypocty indexu'!M34*('Cenova nabidka CNG'!$G22+'Cenova nabidka CNG'!$H22)</f>
        <v>0</v>
      </c>
      <c r="N53" s="120">
        <f>'NABIDKA DOPRAVCE'!$K26*'Vypocty indexu'!N34*('Cenova nabidka CNG'!$G22+'Cenova nabidka CNG'!$H22)</f>
        <v>0</v>
      </c>
    </row>
    <row r="54" spans="2:14" ht="12.75" outlineLevel="1">
      <c r="B54" s="56">
        <v>21</v>
      </c>
      <c r="C54" s="47" t="s">
        <v>16</v>
      </c>
      <c r="D54" s="193"/>
      <c r="E54" s="120">
        <f>'NABIDKA DOPRAVCE'!$K27*'Vypocty indexu'!E35*('Cenova nabidka CNG'!$G23+'Cenova nabidka CNG'!$H23)</f>
        <v>0</v>
      </c>
      <c r="F54" s="120">
        <f>'NABIDKA DOPRAVCE'!$K27*'Vypocty indexu'!F35*('Cenova nabidka CNG'!$G23+'Cenova nabidka CNG'!$H23)</f>
        <v>0</v>
      </c>
      <c r="G54" s="120">
        <f>'NABIDKA DOPRAVCE'!$K27*'Vypocty indexu'!G35*('Cenova nabidka CNG'!$G23+'Cenova nabidka CNG'!$H23)</f>
        <v>0</v>
      </c>
      <c r="H54" s="120">
        <f>'NABIDKA DOPRAVCE'!$K27*'Vypocty indexu'!H35*('Cenova nabidka CNG'!$G23+'Cenova nabidka CNG'!$H23)</f>
        <v>0</v>
      </c>
      <c r="I54" s="120">
        <f>'NABIDKA DOPRAVCE'!$K27*'Vypocty indexu'!I35*('Cenova nabidka CNG'!$G23+'Cenova nabidka CNG'!$H23)</f>
        <v>0</v>
      </c>
      <c r="J54" s="120">
        <f>'NABIDKA DOPRAVCE'!$K27*'Vypocty indexu'!J35*('Cenova nabidka CNG'!$G23+'Cenova nabidka CNG'!$H23)</f>
        <v>0</v>
      </c>
      <c r="K54" s="120">
        <f>'NABIDKA DOPRAVCE'!$K27*'Vypocty indexu'!K35*('Cenova nabidka CNG'!$G23+'Cenova nabidka CNG'!$H23)</f>
        <v>0</v>
      </c>
      <c r="L54" s="120">
        <f>'NABIDKA DOPRAVCE'!$K27*'Vypocty indexu'!L35*('Cenova nabidka CNG'!$G23+'Cenova nabidka CNG'!$H23)</f>
        <v>0</v>
      </c>
      <c r="M54" s="120">
        <f>'NABIDKA DOPRAVCE'!$K27*'Vypocty indexu'!M35*('Cenova nabidka CNG'!$G23+'Cenova nabidka CNG'!$H23)</f>
        <v>0</v>
      </c>
      <c r="N54" s="120">
        <f>'NABIDKA DOPRAVCE'!$K27*'Vypocty indexu'!N35*('Cenova nabidka CNG'!$G23+'Cenova nabidka CNG'!$H23)</f>
        <v>0</v>
      </c>
    </row>
    <row r="55" spans="2:14" ht="12.75" outlineLevel="1">
      <c r="B55" s="56">
        <v>22</v>
      </c>
      <c r="C55" s="47" t="s">
        <v>17</v>
      </c>
      <c r="D55" s="193"/>
      <c r="E55" s="120">
        <f>'NABIDKA DOPRAVCE'!$K28*'Vypocty indexu'!E36*('Cenova nabidka CNG'!$G24+'Cenova nabidka CNG'!$H24)</f>
        <v>0.25</v>
      </c>
      <c r="F55" s="120">
        <f>'NABIDKA DOPRAVCE'!$K28*'Vypocty indexu'!F36*('Cenova nabidka CNG'!$G24+'Cenova nabidka CNG'!$H24)</f>
        <v>0</v>
      </c>
      <c r="G55" s="120">
        <f>'NABIDKA DOPRAVCE'!$K28*'Vypocty indexu'!G36*('Cenova nabidka CNG'!$G24+'Cenova nabidka CNG'!$H24)</f>
        <v>0</v>
      </c>
      <c r="H55" s="120">
        <f>'NABIDKA DOPRAVCE'!$K28*'Vypocty indexu'!H36*('Cenova nabidka CNG'!$G24+'Cenova nabidka CNG'!$H24)</f>
        <v>0</v>
      </c>
      <c r="I55" s="120">
        <f>'NABIDKA DOPRAVCE'!$K28*'Vypocty indexu'!I36*('Cenova nabidka CNG'!$G24+'Cenova nabidka CNG'!$H24)</f>
        <v>0</v>
      </c>
      <c r="J55" s="120">
        <f>'NABIDKA DOPRAVCE'!$K28*'Vypocty indexu'!J36*('Cenova nabidka CNG'!$G24+'Cenova nabidka CNG'!$H24)</f>
        <v>0</v>
      </c>
      <c r="K55" s="120">
        <f>'NABIDKA DOPRAVCE'!$K28*'Vypocty indexu'!K36*('Cenova nabidka CNG'!$G24+'Cenova nabidka CNG'!$H24)</f>
        <v>0</v>
      </c>
      <c r="L55" s="120">
        <f>'NABIDKA DOPRAVCE'!$K28*'Vypocty indexu'!L36*('Cenova nabidka CNG'!$G24+'Cenova nabidka CNG'!$H24)</f>
        <v>0</v>
      </c>
      <c r="M55" s="120">
        <f>'NABIDKA DOPRAVCE'!$K28*'Vypocty indexu'!M36*('Cenova nabidka CNG'!$G24+'Cenova nabidka CNG'!$H24)</f>
        <v>0</v>
      </c>
      <c r="N55" s="120">
        <f>'NABIDKA DOPRAVCE'!$K28*'Vypocty indexu'!N36*('Cenova nabidka CNG'!$G24+'Cenova nabidka CNG'!$H24)</f>
        <v>0</v>
      </c>
    </row>
    <row r="56" spans="2:14" ht="12.75" outlineLevel="1">
      <c r="B56" s="56">
        <v>23</v>
      </c>
      <c r="C56" s="47" t="s">
        <v>18</v>
      </c>
      <c r="D56" s="193"/>
      <c r="E56" s="120">
        <f>'NABIDKA DOPRAVCE'!$K29*'Vypocty indexu'!E37*('Cenova nabidka CNG'!$G25+'Cenova nabidka CNG'!$H25)</f>
        <v>0.1125</v>
      </c>
      <c r="F56" s="120">
        <f>'NABIDKA DOPRAVCE'!$K29*'Vypocty indexu'!F37*('Cenova nabidka CNG'!$G25+'Cenova nabidka CNG'!$H25)</f>
        <v>0</v>
      </c>
      <c r="G56" s="120">
        <f>'NABIDKA DOPRAVCE'!$K29*'Vypocty indexu'!G37*('Cenova nabidka CNG'!$G25+'Cenova nabidka CNG'!$H25)</f>
        <v>0</v>
      </c>
      <c r="H56" s="120">
        <f>'NABIDKA DOPRAVCE'!$K29*'Vypocty indexu'!H37*('Cenova nabidka CNG'!$G25+'Cenova nabidka CNG'!$H25)</f>
        <v>0</v>
      </c>
      <c r="I56" s="120">
        <f>'NABIDKA DOPRAVCE'!$K29*'Vypocty indexu'!I37*('Cenova nabidka CNG'!$G25+'Cenova nabidka CNG'!$H25)</f>
        <v>0</v>
      </c>
      <c r="J56" s="120">
        <f>'NABIDKA DOPRAVCE'!$K29*'Vypocty indexu'!J37*('Cenova nabidka CNG'!$G25+'Cenova nabidka CNG'!$H25)</f>
        <v>0</v>
      </c>
      <c r="K56" s="120">
        <f>'NABIDKA DOPRAVCE'!$K29*'Vypocty indexu'!K37*('Cenova nabidka CNG'!$G25+'Cenova nabidka CNG'!$H25)</f>
        <v>0</v>
      </c>
      <c r="L56" s="120">
        <f>'NABIDKA DOPRAVCE'!$K29*'Vypocty indexu'!L37*('Cenova nabidka CNG'!$G25+'Cenova nabidka CNG'!$H25)</f>
        <v>0</v>
      </c>
      <c r="M56" s="120">
        <f>'NABIDKA DOPRAVCE'!$K29*'Vypocty indexu'!M37*('Cenova nabidka CNG'!$G25+'Cenova nabidka CNG'!$H25)</f>
        <v>0</v>
      </c>
      <c r="N56" s="120">
        <f>'NABIDKA DOPRAVCE'!$K29*'Vypocty indexu'!N37*('Cenova nabidka CNG'!$G25+'Cenova nabidka CNG'!$H25)</f>
        <v>0</v>
      </c>
    </row>
    <row r="57" spans="2:14" ht="12.75" outlineLevel="1">
      <c r="B57" s="56">
        <v>24</v>
      </c>
      <c r="C57" s="47" t="s">
        <v>19</v>
      </c>
      <c r="D57" s="193"/>
      <c r="E57" s="120">
        <f>'NABIDKA DOPRAVCE'!$K30*'Vypocty indexu'!E38*('Cenova nabidka CNG'!$G26+'Cenova nabidka CNG'!$H26)</f>
        <v>0.2125</v>
      </c>
      <c r="F57" s="120">
        <f>'NABIDKA DOPRAVCE'!$K30*'Vypocty indexu'!F38*('Cenova nabidka CNG'!$G26+'Cenova nabidka CNG'!$H26)</f>
        <v>0</v>
      </c>
      <c r="G57" s="120">
        <f>'NABIDKA DOPRAVCE'!$K30*'Vypocty indexu'!G38*('Cenova nabidka CNG'!$G26+'Cenova nabidka CNG'!$H26)</f>
        <v>0</v>
      </c>
      <c r="H57" s="120">
        <f>'NABIDKA DOPRAVCE'!$K30*'Vypocty indexu'!H38*('Cenova nabidka CNG'!$G26+'Cenova nabidka CNG'!$H26)</f>
        <v>0</v>
      </c>
      <c r="I57" s="120">
        <f>'NABIDKA DOPRAVCE'!$K30*'Vypocty indexu'!I38*('Cenova nabidka CNG'!$G26+'Cenova nabidka CNG'!$H26)</f>
        <v>0</v>
      </c>
      <c r="J57" s="120">
        <f>'NABIDKA DOPRAVCE'!$K30*'Vypocty indexu'!J38*('Cenova nabidka CNG'!$G26+'Cenova nabidka CNG'!$H26)</f>
        <v>0</v>
      </c>
      <c r="K57" s="120">
        <f>'NABIDKA DOPRAVCE'!$K30*'Vypocty indexu'!K38*('Cenova nabidka CNG'!$G26+'Cenova nabidka CNG'!$H26)</f>
        <v>0</v>
      </c>
      <c r="L57" s="120">
        <f>'NABIDKA DOPRAVCE'!$K30*'Vypocty indexu'!L38*('Cenova nabidka CNG'!$G26+'Cenova nabidka CNG'!$H26)</f>
        <v>0</v>
      </c>
      <c r="M57" s="120">
        <f>'NABIDKA DOPRAVCE'!$K30*'Vypocty indexu'!M38*('Cenova nabidka CNG'!$G26+'Cenova nabidka CNG'!$H26)</f>
        <v>0</v>
      </c>
      <c r="N57" s="120">
        <f>'NABIDKA DOPRAVCE'!$K30*'Vypocty indexu'!N38*('Cenova nabidka CNG'!$G26+'Cenova nabidka CNG'!$H26)</f>
        <v>0</v>
      </c>
    </row>
    <row r="58" spans="2:14" ht="12.75" outlineLevel="1">
      <c r="B58" s="56">
        <v>25</v>
      </c>
      <c r="C58" s="47" t="s">
        <v>20</v>
      </c>
      <c r="D58" s="193"/>
      <c r="E58" s="120">
        <f>'NABIDKA DOPRAVCE'!$K31*'Vypocty indexu'!E39*('Cenova nabidka CNG'!$G27+'Cenova nabidka CNG'!$H27)</f>
        <v>0</v>
      </c>
      <c r="F58" s="120">
        <f>'NABIDKA DOPRAVCE'!$K31*'Vypocty indexu'!F39*('Cenova nabidka CNG'!$G27+'Cenova nabidka CNG'!$H27)</f>
        <v>0</v>
      </c>
      <c r="G58" s="120">
        <f>'NABIDKA DOPRAVCE'!$K31*'Vypocty indexu'!G39*('Cenova nabidka CNG'!$G27+'Cenova nabidka CNG'!$H27)</f>
        <v>0</v>
      </c>
      <c r="H58" s="120">
        <f>'NABIDKA DOPRAVCE'!$K31*'Vypocty indexu'!H39*('Cenova nabidka CNG'!$G27+'Cenova nabidka CNG'!$H27)</f>
        <v>0</v>
      </c>
      <c r="I58" s="120">
        <f>'NABIDKA DOPRAVCE'!$K31*'Vypocty indexu'!I39*('Cenova nabidka CNG'!$G27+'Cenova nabidka CNG'!$H27)</f>
        <v>0</v>
      </c>
      <c r="J58" s="120">
        <f>'NABIDKA DOPRAVCE'!$K31*'Vypocty indexu'!J39*('Cenova nabidka CNG'!$G27+'Cenova nabidka CNG'!$H27)</f>
        <v>0</v>
      </c>
      <c r="K58" s="120">
        <f>'NABIDKA DOPRAVCE'!$K31*'Vypocty indexu'!K39*('Cenova nabidka CNG'!$G27+'Cenova nabidka CNG'!$H27)</f>
        <v>0</v>
      </c>
      <c r="L58" s="120">
        <f>'NABIDKA DOPRAVCE'!$K31*'Vypocty indexu'!L39*('Cenova nabidka CNG'!$G27+'Cenova nabidka CNG'!$H27)</f>
        <v>0</v>
      </c>
      <c r="M58" s="120">
        <f>'NABIDKA DOPRAVCE'!$K31*'Vypocty indexu'!M39*('Cenova nabidka CNG'!$G27+'Cenova nabidka CNG'!$H27)</f>
        <v>0</v>
      </c>
      <c r="N58" s="120">
        <f>'NABIDKA DOPRAVCE'!$K31*'Vypocty indexu'!N39*('Cenova nabidka CNG'!$G27+'Cenova nabidka CNG'!$H27)</f>
        <v>0</v>
      </c>
    </row>
    <row r="59" spans="2:14" ht="12.75" outlineLevel="1">
      <c r="B59" s="67"/>
      <c r="C59" s="47"/>
      <c r="D59" s="193"/>
      <c r="E59" s="120"/>
      <c r="F59" s="120"/>
      <c r="G59" s="120"/>
      <c r="H59" s="120"/>
      <c r="I59" s="120"/>
      <c r="J59" s="120"/>
      <c r="K59" s="120"/>
      <c r="L59" s="120"/>
      <c r="M59" s="120"/>
      <c r="N59" s="120"/>
    </row>
    <row r="60" spans="2:14" ht="12.75" outlineLevel="1">
      <c r="B60" s="56">
        <v>97</v>
      </c>
      <c r="C60" s="47" t="s">
        <v>84</v>
      </c>
      <c r="D60" s="193"/>
      <c r="E60" s="120">
        <f>'NABIDKA DOPRAVCE'!$K33*'Vypocty indexu'!E41*('Cenova nabidka CNG'!$G29+'Cenova nabidka CNG'!$H29)</f>
        <v>0</v>
      </c>
      <c r="F60" s="120">
        <f>'NABIDKA DOPRAVCE'!$K33*'Vypocty indexu'!F41*('Cenova nabidka CNG'!$G29+'Cenova nabidka CNG'!$H29)</f>
        <v>0</v>
      </c>
      <c r="G60" s="120">
        <f>'NABIDKA DOPRAVCE'!$K33*'Vypocty indexu'!G41*('Cenova nabidka CNG'!$G29+'Cenova nabidka CNG'!$H29)</f>
        <v>0</v>
      </c>
      <c r="H60" s="120">
        <f>'NABIDKA DOPRAVCE'!$K33*'Vypocty indexu'!H41*('Cenova nabidka CNG'!$G29+'Cenova nabidka CNG'!$H29)</f>
        <v>0</v>
      </c>
      <c r="I60" s="120">
        <f>'NABIDKA DOPRAVCE'!$K33*'Vypocty indexu'!I41*('Cenova nabidka CNG'!$G29+'Cenova nabidka CNG'!$H29)</f>
        <v>0</v>
      </c>
      <c r="J60" s="120">
        <f>'NABIDKA DOPRAVCE'!$K33*'Vypocty indexu'!J41*('Cenova nabidka CNG'!$G29+'Cenova nabidka CNG'!$H29)</f>
        <v>0</v>
      </c>
      <c r="K60" s="120">
        <f>'NABIDKA DOPRAVCE'!$K33*'Vypocty indexu'!K41*('Cenova nabidka CNG'!$G29+'Cenova nabidka CNG'!$H29)</f>
        <v>0</v>
      </c>
      <c r="L60" s="120">
        <f>'NABIDKA DOPRAVCE'!$K33*'Vypocty indexu'!L41*('Cenova nabidka CNG'!$G29+'Cenova nabidka CNG'!$H29)</f>
        <v>0</v>
      </c>
      <c r="M60" s="120">
        <f>'NABIDKA DOPRAVCE'!$K33*'Vypocty indexu'!M41*('Cenova nabidka CNG'!$G29+'Cenova nabidka CNG'!$H29)</f>
        <v>0</v>
      </c>
      <c r="N60" s="120">
        <f>'NABIDKA DOPRAVCE'!$K33*'Vypocty indexu'!N41*('Cenova nabidka CNG'!$G29+'Cenova nabidka CNG'!$H29)</f>
        <v>0</v>
      </c>
    </row>
    <row r="61" spans="2:14" ht="12.75" outlineLevel="1">
      <c r="B61" s="56">
        <v>98</v>
      </c>
      <c r="C61" s="47" t="s">
        <v>44</v>
      </c>
      <c r="D61" s="193"/>
      <c r="E61" s="120">
        <f>'NABIDKA DOPRAVCE'!$K34*'Vypocty indexu'!E42*('Cenova nabidka CNG'!$G30+'Cenova nabidka CNG'!$H30)</f>
        <v>0</v>
      </c>
      <c r="F61" s="120">
        <f>'NABIDKA DOPRAVCE'!$K34*'Vypocty indexu'!F42*('Cenova nabidka CNG'!$G30+'Cenova nabidka CNG'!$H30)</f>
        <v>0</v>
      </c>
      <c r="G61" s="120">
        <f>'NABIDKA DOPRAVCE'!$K34*'Vypocty indexu'!G42*('Cenova nabidka CNG'!$G30+'Cenova nabidka CNG'!$H30)</f>
        <v>0</v>
      </c>
      <c r="H61" s="120">
        <f>'NABIDKA DOPRAVCE'!$K34*'Vypocty indexu'!H42*('Cenova nabidka CNG'!$G30+'Cenova nabidka CNG'!$H30)</f>
        <v>0</v>
      </c>
      <c r="I61" s="120">
        <f>'NABIDKA DOPRAVCE'!$K34*'Vypocty indexu'!I42*('Cenova nabidka CNG'!$G30+'Cenova nabidka CNG'!$H30)</f>
        <v>0</v>
      </c>
      <c r="J61" s="120">
        <f>'NABIDKA DOPRAVCE'!$K34*'Vypocty indexu'!J42*('Cenova nabidka CNG'!$G30+'Cenova nabidka CNG'!$H30)</f>
        <v>0</v>
      </c>
      <c r="K61" s="120">
        <f>'NABIDKA DOPRAVCE'!$K34*'Vypocty indexu'!K42*('Cenova nabidka CNG'!$G30+'Cenova nabidka CNG'!$H30)</f>
        <v>0</v>
      </c>
      <c r="L61" s="120">
        <f>'NABIDKA DOPRAVCE'!$K34*'Vypocty indexu'!L42*('Cenova nabidka CNG'!$G30+'Cenova nabidka CNG'!$H30)</f>
        <v>0</v>
      </c>
      <c r="M61" s="120">
        <f>'NABIDKA DOPRAVCE'!$K34*'Vypocty indexu'!M42*('Cenova nabidka CNG'!$G30+'Cenova nabidka CNG'!$H30)</f>
        <v>0</v>
      </c>
      <c r="N61" s="120">
        <f>'NABIDKA DOPRAVCE'!$K34*'Vypocty indexu'!N42*('Cenova nabidka CNG'!$G30+'Cenova nabidka CNG'!$H30)</f>
        <v>0</v>
      </c>
    </row>
    <row r="62" spans="2:14" ht="12.75" outlineLevel="1">
      <c r="B62" s="56">
        <v>99</v>
      </c>
      <c r="C62" s="47" t="s">
        <v>226</v>
      </c>
      <c r="D62" s="193"/>
      <c r="E62" s="749" t="s">
        <v>228</v>
      </c>
      <c r="F62" s="750"/>
      <c r="G62" s="750"/>
      <c r="H62" s="750"/>
      <c r="I62" s="750"/>
      <c r="J62" s="750"/>
      <c r="K62" s="750"/>
      <c r="L62" s="750"/>
      <c r="M62" s="750"/>
      <c r="N62" s="751"/>
    </row>
    <row r="63" spans="2:15" s="11" customFormat="1" ht="12.75">
      <c r="B63" s="190"/>
      <c r="C63" s="63" t="s">
        <v>106</v>
      </c>
      <c r="D63" s="193"/>
      <c r="E63" s="119">
        <f aca="true" t="shared" si="2" ref="E63:N63">ROUND(SUM(E38:E61),2)</f>
        <v>10.86</v>
      </c>
      <c r="F63" s="119">
        <f t="shared" si="2"/>
        <v>0</v>
      </c>
      <c r="G63" s="119">
        <f t="shared" si="2"/>
        <v>0</v>
      </c>
      <c r="H63" s="119">
        <f t="shared" si="2"/>
        <v>0</v>
      </c>
      <c r="I63" s="119">
        <f t="shared" si="2"/>
        <v>0</v>
      </c>
      <c r="J63" s="119">
        <f t="shared" si="2"/>
        <v>0</v>
      </c>
      <c r="K63" s="119">
        <f t="shared" si="2"/>
        <v>0</v>
      </c>
      <c r="L63" s="119">
        <f t="shared" si="2"/>
        <v>0</v>
      </c>
      <c r="M63" s="119">
        <f t="shared" si="2"/>
        <v>0</v>
      </c>
      <c r="N63" s="119">
        <f t="shared" si="2"/>
        <v>0</v>
      </c>
      <c r="O63" s="66"/>
    </row>
    <row r="64" spans="2:15" s="11" customFormat="1" ht="12.75">
      <c r="B64" s="187"/>
      <c r="C64" s="55"/>
      <c r="D64" s="188"/>
      <c r="E64" s="198"/>
      <c r="F64" s="189"/>
      <c r="G64" s="189"/>
      <c r="H64" s="189"/>
      <c r="I64" s="189"/>
      <c r="J64" s="189"/>
      <c r="K64" s="189"/>
      <c r="L64" s="189"/>
      <c r="M64" s="189"/>
      <c r="N64" s="199"/>
      <c r="O64" s="66"/>
    </row>
    <row r="65" spans="2:14" ht="12.75" customHeight="1">
      <c r="B65" s="11" t="str">
        <f>'Beh smlouvy'!B26</f>
        <v>Cena za Objížďky (dle Zadavatelem schválené délky objížděk)</v>
      </c>
      <c r="E65" s="101"/>
      <c r="F65" s="54"/>
      <c r="G65" s="54"/>
      <c r="H65" s="54"/>
      <c r="I65" s="54"/>
      <c r="J65" s="54"/>
      <c r="K65" s="54"/>
      <c r="L65" s="54"/>
      <c r="M65" s="54"/>
      <c r="N65" s="102"/>
    </row>
    <row r="66" spans="2:14" ht="12.75" outlineLevel="1">
      <c r="B66" s="53" t="s">
        <v>35</v>
      </c>
      <c r="C66" s="53" t="s">
        <v>65</v>
      </c>
      <c r="D66" s="54"/>
      <c r="E66" s="200"/>
      <c r="F66" s="126"/>
      <c r="G66" s="126"/>
      <c r="H66" s="126"/>
      <c r="I66" s="126"/>
      <c r="J66" s="126"/>
      <c r="K66" s="126"/>
      <c r="L66" s="126"/>
      <c r="M66" s="126"/>
      <c r="N66" s="201"/>
    </row>
    <row r="67" spans="2:14" ht="12.75" outlineLevel="1">
      <c r="B67" s="56" t="s">
        <v>22</v>
      </c>
      <c r="C67" s="47" t="s">
        <v>125</v>
      </c>
      <c r="D67" s="193"/>
      <c r="E67" s="118">
        <f>'NABIDKA DOPRAVCE'!$K11*'Vypocty indexu'!E19*'Cenova nabidka CNG'!$F7</f>
        <v>0</v>
      </c>
      <c r="F67" s="118">
        <f>'NABIDKA DOPRAVCE'!$K11*'Vypocty indexu'!F19*'Cenova nabidka CNG'!$F7</f>
        <v>0</v>
      </c>
      <c r="G67" s="118">
        <f>'NABIDKA DOPRAVCE'!$K11*'Vypocty indexu'!G19*'Cenova nabidka CNG'!$F7</f>
        <v>0</v>
      </c>
      <c r="H67" s="118">
        <f>'NABIDKA DOPRAVCE'!$K11*'Vypocty indexu'!H19*'Cenova nabidka CNG'!$F7</f>
        <v>0</v>
      </c>
      <c r="I67" s="118">
        <f>'NABIDKA DOPRAVCE'!$K11*'Vypocty indexu'!I19*'Cenova nabidka CNG'!$F7</f>
        <v>0</v>
      </c>
      <c r="J67" s="118">
        <f>'NABIDKA DOPRAVCE'!$K11*'Vypocty indexu'!J19*'Cenova nabidka CNG'!$F7</f>
        <v>0</v>
      </c>
      <c r="K67" s="118">
        <f>'NABIDKA DOPRAVCE'!$K11*'Vypocty indexu'!K19*'Cenova nabidka CNG'!$F7</f>
        <v>0</v>
      </c>
      <c r="L67" s="118">
        <f>'NABIDKA DOPRAVCE'!$K11*'Vypocty indexu'!L19*'Cenova nabidka CNG'!$F7</f>
        <v>0</v>
      </c>
      <c r="M67" s="118">
        <f>'NABIDKA DOPRAVCE'!$K11*'Vypocty indexu'!M19*'Cenova nabidka CNG'!$F7</f>
        <v>0</v>
      </c>
      <c r="N67" s="118">
        <f>'NABIDKA DOPRAVCE'!$K11*'Vypocty indexu'!N19*'Cenova nabidka CNG'!$F7</f>
        <v>0</v>
      </c>
    </row>
    <row r="68" spans="2:14" ht="12.75" outlineLevel="1">
      <c r="B68" s="56" t="s">
        <v>23</v>
      </c>
      <c r="C68" s="47" t="s">
        <v>126</v>
      </c>
      <c r="D68" s="193"/>
      <c r="E68" s="118">
        <f>'NABIDKA DOPRAVCE'!$K12*'Vypocty indexu'!E20*'Cenova nabidka CNG'!$F8</f>
        <v>6.166</v>
      </c>
      <c r="F68" s="118">
        <f>'NABIDKA DOPRAVCE'!$K12*'Vypocty indexu'!F20*'Cenova nabidka CNG'!$F8</f>
        <v>0</v>
      </c>
      <c r="G68" s="118">
        <f>'NABIDKA DOPRAVCE'!$K12*'Vypocty indexu'!G20*'Cenova nabidka CNG'!$F8</f>
        <v>0</v>
      </c>
      <c r="H68" s="118">
        <f>'NABIDKA DOPRAVCE'!$K12*'Vypocty indexu'!H20*'Cenova nabidka CNG'!$F8</f>
        <v>0</v>
      </c>
      <c r="I68" s="118">
        <f>'NABIDKA DOPRAVCE'!$K12*'Vypocty indexu'!I20*'Cenova nabidka CNG'!$F8</f>
        <v>0</v>
      </c>
      <c r="J68" s="118">
        <f>'NABIDKA DOPRAVCE'!$K12*'Vypocty indexu'!J20*'Cenova nabidka CNG'!$F8</f>
        <v>0</v>
      </c>
      <c r="K68" s="118">
        <f>'NABIDKA DOPRAVCE'!$K12*'Vypocty indexu'!K20*'Cenova nabidka CNG'!$F8</f>
        <v>0</v>
      </c>
      <c r="L68" s="118">
        <f>'NABIDKA DOPRAVCE'!$K12*'Vypocty indexu'!L20*'Cenova nabidka CNG'!$F8</f>
        <v>0</v>
      </c>
      <c r="M68" s="118">
        <f>'NABIDKA DOPRAVCE'!$K12*'Vypocty indexu'!M20*'Cenova nabidka CNG'!$F8</f>
        <v>0</v>
      </c>
      <c r="N68" s="118">
        <f>'NABIDKA DOPRAVCE'!$K12*'Vypocty indexu'!N20*'Cenova nabidka CNG'!$F8</f>
        <v>0</v>
      </c>
    </row>
    <row r="69" spans="2:14" ht="12.75" outlineLevel="1">
      <c r="B69" s="56" t="s">
        <v>24</v>
      </c>
      <c r="C69" s="47" t="s">
        <v>262</v>
      </c>
      <c r="D69" s="193"/>
      <c r="E69" s="118">
        <f>'NABIDKA DOPRAVCE'!$K13*'Vypocty indexu'!E21*'Cenova nabidka CNG'!$F9</f>
        <v>0</v>
      </c>
      <c r="F69" s="118">
        <f>'NABIDKA DOPRAVCE'!$K13*'Vypocty indexu'!F21*'Cenova nabidka CNG'!$F9</f>
        <v>0</v>
      </c>
      <c r="G69" s="118">
        <f>'NABIDKA DOPRAVCE'!$K13*'Vypocty indexu'!G21*'Cenova nabidka CNG'!$F9</f>
        <v>0</v>
      </c>
      <c r="H69" s="118">
        <f>'NABIDKA DOPRAVCE'!$K13*'Vypocty indexu'!H21*'Cenova nabidka CNG'!$F9</f>
        <v>0</v>
      </c>
      <c r="I69" s="118">
        <f>'NABIDKA DOPRAVCE'!$K13*'Vypocty indexu'!I21*'Cenova nabidka CNG'!$F9</f>
        <v>0</v>
      </c>
      <c r="J69" s="118">
        <f>'NABIDKA DOPRAVCE'!$K13*'Vypocty indexu'!J21*'Cenova nabidka CNG'!$F9</f>
        <v>0</v>
      </c>
      <c r="K69" s="118">
        <f>'NABIDKA DOPRAVCE'!$K13*'Vypocty indexu'!K21*'Cenova nabidka CNG'!$F9</f>
        <v>0</v>
      </c>
      <c r="L69" s="118">
        <f>'NABIDKA DOPRAVCE'!$K13*'Vypocty indexu'!L21*'Cenova nabidka CNG'!$F9</f>
        <v>0</v>
      </c>
      <c r="M69" s="118">
        <f>'NABIDKA DOPRAVCE'!$K13*'Vypocty indexu'!M21*'Cenova nabidka CNG'!$F9</f>
        <v>0</v>
      </c>
      <c r="N69" s="118">
        <f>'NABIDKA DOPRAVCE'!$K13*'Vypocty indexu'!N21*'Cenova nabidka CNG'!$F9</f>
        <v>0</v>
      </c>
    </row>
    <row r="70" spans="2:14" ht="12.75" outlineLevel="1">
      <c r="B70" s="56" t="s">
        <v>123</v>
      </c>
      <c r="C70" s="47" t="s">
        <v>127</v>
      </c>
      <c r="D70" s="193"/>
      <c r="E70" s="118">
        <f>'NABIDKA DOPRAVCE'!$K14*'Vypocty indexu'!E22*'Cenova nabidka CNG'!$F10</f>
        <v>0.1</v>
      </c>
      <c r="F70" s="118">
        <f>'NABIDKA DOPRAVCE'!$K14*'Vypocty indexu'!F22*'Cenova nabidka CNG'!$F10</f>
        <v>0</v>
      </c>
      <c r="G70" s="118">
        <f>'NABIDKA DOPRAVCE'!$K14*'Vypocty indexu'!G22*'Cenova nabidka CNG'!$F10</f>
        <v>0</v>
      </c>
      <c r="H70" s="118">
        <f>'NABIDKA DOPRAVCE'!$K14*'Vypocty indexu'!H22*'Cenova nabidka CNG'!$F10</f>
        <v>0</v>
      </c>
      <c r="I70" s="118">
        <f>'NABIDKA DOPRAVCE'!$K14*'Vypocty indexu'!I22*'Cenova nabidka CNG'!$F10</f>
        <v>0</v>
      </c>
      <c r="J70" s="118">
        <f>'NABIDKA DOPRAVCE'!$K14*'Vypocty indexu'!J22*'Cenova nabidka CNG'!$F10</f>
        <v>0</v>
      </c>
      <c r="K70" s="118">
        <f>'NABIDKA DOPRAVCE'!$K14*'Vypocty indexu'!K22*'Cenova nabidka CNG'!$F10</f>
        <v>0</v>
      </c>
      <c r="L70" s="118">
        <f>'NABIDKA DOPRAVCE'!$K14*'Vypocty indexu'!L22*'Cenova nabidka CNG'!$F10</f>
        <v>0</v>
      </c>
      <c r="M70" s="118">
        <f>'NABIDKA DOPRAVCE'!$K14*'Vypocty indexu'!M22*'Cenova nabidka CNG'!$F10</f>
        <v>0</v>
      </c>
      <c r="N70" s="118">
        <f>'NABIDKA DOPRAVCE'!$K14*'Vypocty indexu'!N22*'Cenova nabidka CNG'!$F10</f>
        <v>0</v>
      </c>
    </row>
    <row r="71" spans="2:14" ht="12.75" outlineLevel="1">
      <c r="B71" s="56">
        <v>12</v>
      </c>
      <c r="C71" s="47" t="s">
        <v>8</v>
      </c>
      <c r="D71" s="193"/>
      <c r="E71" s="118">
        <f>'NABIDKA DOPRAVCE'!$K15*'Vypocty indexu'!E23*'Cenova nabidka CNG'!$F11</f>
        <v>0.7732</v>
      </c>
      <c r="F71" s="118">
        <f>'NABIDKA DOPRAVCE'!$K15*'Vypocty indexu'!F23*'Cenova nabidka CNG'!$F11</f>
        <v>0</v>
      </c>
      <c r="G71" s="118">
        <f>'NABIDKA DOPRAVCE'!$K15*'Vypocty indexu'!G23*'Cenova nabidka CNG'!$F11</f>
        <v>0</v>
      </c>
      <c r="H71" s="118">
        <f>'NABIDKA DOPRAVCE'!$K15*'Vypocty indexu'!H23*'Cenova nabidka CNG'!$F11</f>
        <v>0</v>
      </c>
      <c r="I71" s="118">
        <f>'NABIDKA DOPRAVCE'!$K15*'Vypocty indexu'!I23*'Cenova nabidka CNG'!$F11</f>
        <v>0</v>
      </c>
      <c r="J71" s="118">
        <f>'NABIDKA DOPRAVCE'!$K15*'Vypocty indexu'!J23*'Cenova nabidka CNG'!$F11</f>
        <v>0</v>
      </c>
      <c r="K71" s="118">
        <f>'NABIDKA DOPRAVCE'!$K15*'Vypocty indexu'!K23*'Cenova nabidka CNG'!$F11</f>
        <v>0</v>
      </c>
      <c r="L71" s="118">
        <f>'NABIDKA DOPRAVCE'!$K15*'Vypocty indexu'!L23*'Cenova nabidka CNG'!$F11</f>
        <v>0</v>
      </c>
      <c r="M71" s="118">
        <f>'NABIDKA DOPRAVCE'!$K15*'Vypocty indexu'!M23*'Cenova nabidka CNG'!$F11</f>
        <v>0</v>
      </c>
      <c r="N71" s="118">
        <f>'NABIDKA DOPRAVCE'!$K15*'Vypocty indexu'!N23*'Cenova nabidka CNG'!$F11</f>
        <v>0</v>
      </c>
    </row>
    <row r="72" spans="2:14" ht="12.75" outlineLevel="1">
      <c r="B72" s="56">
        <v>13</v>
      </c>
      <c r="C72" s="47" t="s">
        <v>9</v>
      </c>
      <c r="D72" s="193"/>
      <c r="E72" s="118">
        <f>'NABIDKA DOPRAVCE'!$K16*'Vypocty indexu'!E24*'Cenova nabidka CNG'!$F12</f>
        <v>2.03</v>
      </c>
      <c r="F72" s="118">
        <f>'NABIDKA DOPRAVCE'!$K16*'Vypocty indexu'!F24*'Cenova nabidka CNG'!$F12</f>
        <v>0</v>
      </c>
      <c r="G72" s="118">
        <f>'NABIDKA DOPRAVCE'!$K16*'Vypocty indexu'!G24*'Cenova nabidka CNG'!$F12</f>
        <v>0</v>
      </c>
      <c r="H72" s="118">
        <f>'NABIDKA DOPRAVCE'!$K16*'Vypocty indexu'!H24*'Cenova nabidka CNG'!$F12</f>
        <v>0</v>
      </c>
      <c r="I72" s="118">
        <f>'NABIDKA DOPRAVCE'!$K16*'Vypocty indexu'!I24*'Cenova nabidka CNG'!$F12</f>
        <v>0</v>
      </c>
      <c r="J72" s="118">
        <f>'NABIDKA DOPRAVCE'!$K16*'Vypocty indexu'!J24*'Cenova nabidka CNG'!$F12</f>
        <v>0</v>
      </c>
      <c r="K72" s="118">
        <f>'NABIDKA DOPRAVCE'!$K16*'Vypocty indexu'!K24*'Cenova nabidka CNG'!$F12</f>
        <v>0</v>
      </c>
      <c r="L72" s="118">
        <f>'NABIDKA DOPRAVCE'!$K16*'Vypocty indexu'!L24*'Cenova nabidka CNG'!$F12</f>
        <v>0</v>
      </c>
      <c r="M72" s="118">
        <f>'NABIDKA DOPRAVCE'!$K16*'Vypocty indexu'!M24*'Cenova nabidka CNG'!$F12</f>
        <v>0</v>
      </c>
      <c r="N72" s="118">
        <f>'NABIDKA DOPRAVCE'!$K16*'Vypocty indexu'!N24*'Cenova nabidka CNG'!$F12</f>
        <v>0</v>
      </c>
    </row>
    <row r="73" spans="2:14" ht="12.75" outlineLevel="1">
      <c r="B73" s="56" t="s">
        <v>28</v>
      </c>
      <c r="C73" s="47" t="s">
        <v>59</v>
      </c>
      <c r="D73" s="193"/>
      <c r="E73" s="118">
        <f>'NABIDKA DOPRAVCE'!$K17*'Vypocty indexu'!E25*'Cenova nabidka CNG'!$F13</f>
        <v>0</v>
      </c>
      <c r="F73" s="118">
        <f>'NABIDKA DOPRAVCE'!$K17*'Vypocty indexu'!F25*'Cenova nabidka CNG'!$F13</f>
        <v>0</v>
      </c>
      <c r="G73" s="118">
        <f>'NABIDKA DOPRAVCE'!$K17*'Vypocty indexu'!G25*'Cenova nabidka CNG'!$F13</f>
        <v>0</v>
      </c>
      <c r="H73" s="118">
        <f>'NABIDKA DOPRAVCE'!$K17*'Vypocty indexu'!H25*'Cenova nabidka CNG'!$F13</f>
        <v>0</v>
      </c>
      <c r="I73" s="118">
        <f>'NABIDKA DOPRAVCE'!$K17*'Vypocty indexu'!I25*'Cenova nabidka CNG'!$F13</f>
        <v>0</v>
      </c>
      <c r="J73" s="118">
        <f>'NABIDKA DOPRAVCE'!$K17*'Vypocty indexu'!J25*'Cenova nabidka CNG'!$F13</f>
        <v>0</v>
      </c>
      <c r="K73" s="118">
        <f>'NABIDKA DOPRAVCE'!$K17*'Vypocty indexu'!K25*'Cenova nabidka CNG'!$F13</f>
        <v>0</v>
      </c>
      <c r="L73" s="118">
        <f>'NABIDKA DOPRAVCE'!$K17*'Vypocty indexu'!L25*'Cenova nabidka CNG'!$F13</f>
        <v>0</v>
      </c>
      <c r="M73" s="118">
        <f>'NABIDKA DOPRAVCE'!$K17*'Vypocty indexu'!M25*'Cenova nabidka CNG'!$F13</f>
        <v>0</v>
      </c>
      <c r="N73" s="118">
        <f>'NABIDKA DOPRAVCE'!$K17*'Vypocty indexu'!N25*'Cenova nabidka CNG'!$F13</f>
        <v>0</v>
      </c>
    </row>
    <row r="74" spans="2:14" ht="12.75" outlineLevel="1">
      <c r="B74" s="56" t="s">
        <v>29</v>
      </c>
      <c r="C74" s="47" t="s">
        <v>60</v>
      </c>
      <c r="D74" s="193"/>
      <c r="E74" s="118">
        <f>'NABIDKA DOPRAVCE'!$K18*'Vypocty indexu'!E26*'Cenova nabidka CNG'!$F14</f>
        <v>0</v>
      </c>
      <c r="F74" s="118">
        <f>'NABIDKA DOPRAVCE'!$K18*'Vypocty indexu'!F26*'Cenova nabidka CNG'!$F14</f>
        <v>0</v>
      </c>
      <c r="G74" s="118">
        <f>'NABIDKA DOPRAVCE'!$K18*'Vypocty indexu'!G26*'Cenova nabidka CNG'!$F14</f>
        <v>0</v>
      </c>
      <c r="H74" s="118">
        <f>'NABIDKA DOPRAVCE'!$K18*'Vypocty indexu'!H26*'Cenova nabidka CNG'!$F14</f>
        <v>0</v>
      </c>
      <c r="I74" s="118">
        <f>'NABIDKA DOPRAVCE'!$K18*'Vypocty indexu'!I26*'Cenova nabidka CNG'!$F14</f>
        <v>0</v>
      </c>
      <c r="J74" s="118">
        <f>'NABIDKA DOPRAVCE'!$K18*'Vypocty indexu'!J26*'Cenova nabidka CNG'!$F14</f>
        <v>0</v>
      </c>
      <c r="K74" s="118">
        <f>'NABIDKA DOPRAVCE'!$K18*'Vypocty indexu'!K26*'Cenova nabidka CNG'!$F14</f>
        <v>0</v>
      </c>
      <c r="L74" s="118">
        <f>'NABIDKA DOPRAVCE'!$K18*'Vypocty indexu'!L26*'Cenova nabidka CNG'!$F14</f>
        <v>0</v>
      </c>
      <c r="M74" s="118">
        <f>'NABIDKA DOPRAVCE'!$K18*'Vypocty indexu'!M26*'Cenova nabidka CNG'!$F14</f>
        <v>0</v>
      </c>
      <c r="N74" s="118">
        <f>'NABIDKA DOPRAVCE'!$K18*'Vypocty indexu'!N26*'Cenova nabidka CNG'!$F14</f>
        <v>0</v>
      </c>
    </row>
    <row r="75" spans="2:14" ht="12.75" outlineLevel="1">
      <c r="B75" s="56">
        <v>15</v>
      </c>
      <c r="C75" s="47" t="s">
        <v>42</v>
      </c>
      <c r="D75" s="193"/>
      <c r="E75" s="118">
        <f>'NABIDKA DOPRAVCE'!$K19*'Vypocty indexu'!E27*'Cenova nabidka CNG'!$F15</f>
        <v>0</v>
      </c>
      <c r="F75" s="118">
        <f>'NABIDKA DOPRAVCE'!$K19*'Vypocty indexu'!F27*'Cenova nabidka CNG'!$F15</f>
        <v>0</v>
      </c>
      <c r="G75" s="118">
        <f>'NABIDKA DOPRAVCE'!$K19*'Vypocty indexu'!G27*'Cenova nabidka CNG'!$F15</f>
        <v>0</v>
      </c>
      <c r="H75" s="118">
        <f>'NABIDKA DOPRAVCE'!$K19*'Vypocty indexu'!H27*'Cenova nabidka CNG'!$F15</f>
        <v>0</v>
      </c>
      <c r="I75" s="118">
        <f>'NABIDKA DOPRAVCE'!$K19*'Vypocty indexu'!I27*'Cenova nabidka CNG'!$F15</f>
        <v>0</v>
      </c>
      <c r="J75" s="118">
        <f>'NABIDKA DOPRAVCE'!$K19*'Vypocty indexu'!J27*'Cenova nabidka CNG'!$F15</f>
        <v>0</v>
      </c>
      <c r="K75" s="118">
        <f>'NABIDKA DOPRAVCE'!$K19*'Vypocty indexu'!K27*'Cenova nabidka CNG'!$F15</f>
        <v>0</v>
      </c>
      <c r="L75" s="118">
        <f>'NABIDKA DOPRAVCE'!$K19*'Vypocty indexu'!L27*'Cenova nabidka CNG'!$F15</f>
        <v>0</v>
      </c>
      <c r="M75" s="118">
        <f>'NABIDKA DOPRAVCE'!$K19*'Vypocty indexu'!M27*'Cenova nabidka CNG'!$F15</f>
        <v>0</v>
      </c>
      <c r="N75" s="118">
        <f>'NABIDKA DOPRAVCE'!$K19*'Vypocty indexu'!N27*'Cenova nabidka CNG'!$F15</f>
        <v>0</v>
      </c>
    </row>
    <row r="76" spans="2:14" ht="12.75" outlineLevel="1">
      <c r="B76" s="56" t="s">
        <v>30</v>
      </c>
      <c r="C76" s="47" t="s">
        <v>61</v>
      </c>
      <c r="D76" s="193"/>
      <c r="E76" s="118">
        <f>'NABIDKA DOPRAVCE'!$K20*'Vypocty indexu'!E28*'Cenova nabidka CNG'!$F16</f>
        <v>4.117793110512598</v>
      </c>
      <c r="F76" s="118">
        <f>'NABIDKA DOPRAVCE'!$K20*'Vypocty indexu'!F28*'Cenova nabidka CNG'!$F16</f>
        <v>0</v>
      </c>
      <c r="G76" s="118">
        <f>'NABIDKA DOPRAVCE'!$K20*'Vypocty indexu'!G28*'Cenova nabidka CNG'!$F16</f>
        <v>0</v>
      </c>
      <c r="H76" s="118">
        <f>'NABIDKA DOPRAVCE'!$K20*'Vypocty indexu'!H28*'Cenova nabidka CNG'!$F16</f>
        <v>0</v>
      </c>
      <c r="I76" s="118">
        <f>'NABIDKA DOPRAVCE'!$K20*'Vypocty indexu'!I28*'Cenova nabidka CNG'!$F16</f>
        <v>0</v>
      </c>
      <c r="J76" s="118">
        <f>'NABIDKA DOPRAVCE'!$K20*'Vypocty indexu'!J28*'Cenova nabidka CNG'!$F16</f>
        <v>0</v>
      </c>
      <c r="K76" s="118">
        <f>'NABIDKA DOPRAVCE'!$K20*'Vypocty indexu'!K28*'Cenova nabidka CNG'!$F16</f>
        <v>0</v>
      </c>
      <c r="L76" s="118">
        <f>'NABIDKA DOPRAVCE'!$K20*'Vypocty indexu'!L28*'Cenova nabidka CNG'!$F16</f>
        <v>0</v>
      </c>
      <c r="M76" s="118">
        <f>'NABIDKA DOPRAVCE'!$K20*'Vypocty indexu'!M28*'Cenova nabidka CNG'!$F16</f>
        <v>0</v>
      </c>
      <c r="N76" s="118">
        <f>'NABIDKA DOPRAVCE'!$K20*'Vypocty indexu'!N28*'Cenova nabidka CNG'!$F16</f>
        <v>0</v>
      </c>
    </row>
    <row r="77" spans="2:14" ht="12.75" outlineLevel="1">
      <c r="B77" s="56" t="s">
        <v>31</v>
      </c>
      <c r="C77" s="47" t="s">
        <v>62</v>
      </c>
      <c r="D77" s="193"/>
      <c r="E77" s="118">
        <f>'NABIDKA DOPRAVCE'!$K21*'Vypocty indexu'!E29*'Cenova nabidka CNG'!$F17</f>
        <v>0.14919540255480426</v>
      </c>
      <c r="F77" s="118">
        <f>'NABIDKA DOPRAVCE'!$K21*'Vypocty indexu'!F29*'Cenova nabidka CNG'!$F17</f>
        <v>0</v>
      </c>
      <c r="G77" s="118">
        <f>'NABIDKA DOPRAVCE'!$K21*'Vypocty indexu'!G29*'Cenova nabidka CNG'!$F17</f>
        <v>0</v>
      </c>
      <c r="H77" s="118">
        <f>'NABIDKA DOPRAVCE'!$K21*'Vypocty indexu'!H29*'Cenova nabidka CNG'!$F17</f>
        <v>0</v>
      </c>
      <c r="I77" s="118">
        <f>'NABIDKA DOPRAVCE'!$K21*'Vypocty indexu'!I29*'Cenova nabidka CNG'!$F17</f>
        <v>0</v>
      </c>
      <c r="J77" s="118">
        <f>'NABIDKA DOPRAVCE'!$K21*'Vypocty indexu'!J29*'Cenova nabidka CNG'!$F17</f>
        <v>0</v>
      </c>
      <c r="K77" s="118">
        <f>'NABIDKA DOPRAVCE'!$K21*'Vypocty indexu'!K29*'Cenova nabidka CNG'!$F17</f>
        <v>0</v>
      </c>
      <c r="L77" s="118">
        <f>'NABIDKA DOPRAVCE'!$K21*'Vypocty indexu'!L29*'Cenova nabidka CNG'!$F17</f>
        <v>0</v>
      </c>
      <c r="M77" s="118">
        <f>'NABIDKA DOPRAVCE'!$K21*'Vypocty indexu'!M29*'Cenova nabidka CNG'!$F17</f>
        <v>0</v>
      </c>
      <c r="N77" s="118">
        <f>'NABIDKA DOPRAVCE'!$K21*'Vypocty indexu'!N29*'Cenova nabidka CNG'!$F17</f>
        <v>0</v>
      </c>
    </row>
    <row r="78" spans="2:14" ht="12.75" outlineLevel="1">
      <c r="B78" s="56" t="s">
        <v>40</v>
      </c>
      <c r="C78" s="47" t="s">
        <v>63</v>
      </c>
      <c r="D78" s="193"/>
      <c r="E78" s="118">
        <f>'NABIDKA DOPRAVCE'!$K22*'Vypocty indexu'!E30*'Cenova nabidka CNG'!$F18</f>
        <v>1.4000496575742833</v>
      </c>
      <c r="F78" s="118">
        <f>'NABIDKA DOPRAVCE'!$K22*'Vypocty indexu'!F30*'Cenova nabidka CNG'!$F18</f>
        <v>0</v>
      </c>
      <c r="G78" s="118">
        <f>'NABIDKA DOPRAVCE'!$K22*'Vypocty indexu'!G30*'Cenova nabidka CNG'!$F18</f>
        <v>0</v>
      </c>
      <c r="H78" s="118">
        <f>'NABIDKA DOPRAVCE'!$K22*'Vypocty indexu'!H30*'Cenova nabidka CNG'!$F18</f>
        <v>0</v>
      </c>
      <c r="I78" s="118">
        <f>'NABIDKA DOPRAVCE'!$K22*'Vypocty indexu'!I30*'Cenova nabidka CNG'!$F18</f>
        <v>0</v>
      </c>
      <c r="J78" s="118">
        <f>'NABIDKA DOPRAVCE'!$K22*'Vypocty indexu'!J30*'Cenova nabidka CNG'!$F18</f>
        <v>0</v>
      </c>
      <c r="K78" s="118">
        <f>'NABIDKA DOPRAVCE'!$K22*'Vypocty indexu'!K30*'Cenova nabidka CNG'!$F18</f>
        <v>0</v>
      </c>
      <c r="L78" s="118">
        <f>'NABIDKA DOPRAVCE'!$K22*'Vypocty indexu'!L30*'Cenova nabidka CNG'!$F18</f>
        <v>0</v>
      </c>
      <c r="M78" s="118">
        <f>'NABIDKA DOPRAVCE'!$K22*'Vypocty indexu'!M30*'Cenova nabidka CNG'!$F18</f>
        <v>0</v>
      </c>
      <c r="N78" s="118">
        <f>'NABIDKA DOPRAVCE'!$K22*'Vypocty indexu'!N30*'Cenova nabidka CNG'!$F18</f>
        <v>0</v>
      </c>
    </row>
    <row r="79" spans="2:14" ht="12.75" outlineLevel="1">
      <c r="B79" s="56" t="s">
        <v>41</v>
      </c>
      <c r="C79" s="47" t="s">
        <v>64</v>
      </c>
      <c r="D79" s="193"/>
      <c r="E79" s="118">
        <f>'NABIDKA DOPRAVCE'!$K23*'Vypocty indexu'!E31*'Cenova nabidka CNG'!$F19</f>
        <v>0.05072643686863346</v>
      </c>
      <c r="F79" s="118">
        <f>'NABIDKA DOPRAVCE'!$K23*'Vypocty indexu'!F31*'Cenova nabidka CNG'!$F19</f>
        <v>0</v>
      </c>
      <c r="G79" s="118">
        <f>'NABIDKA DOPRAVCE'!$K23*'Vypocty indexu'!G31*'Cenova nabidka CNG'!$F19</f>
        <v>0</v>
      </c>
      <c r="H79" s="118">
        <f>'NABIDKA DOPRAVCE'!$K23*'Vypocty indexu'!H31*'Cenova nabidka CNG'!$F19</f>
        <v>0</v>
      </c>
      <c r="I79" s="118">
        <f>'NABIDKA DOPRAVCE'!$K23*'Vypocty indexu'!I31*'Cenova nabidka CNG'!$F19</f>
        <v>0</v>
      </c>
      <c r="J79" s="118">
        <f>'NABIDKA DOPRAVCE'!$K23*'Vypocty indexu'!J31*'Cenova nabidka CNG'!$F19</f>
        <v>0</v>
      </c>
      <c r="K79" s="118">
        <f>'NABIDKA DOPRAVCE'!$K23*'Vypocty indexu'!K31*'Cenova nabidka CNG'!$F19</f>
        <v>0</v>
      </c>
      <c r="L79" s="118">
        <f>'NABIDKA DOPRAVCE'!$K23*'Vypocty indexu'!L31*'Cenova nabidka CNG'!$F19</f>
        <v>0</v>
      </c>
      <c r="M79" s="118">
        <f>'NABIDKA DOPRAVCE'!$K23*'Vypocty indexu'!M31*'Cenova nabidka CNG'!$F19</f>
        <v>0</v>
      </c>
      <c r="N79" s="118">
        <f>'NABIDKA DOPRAVCE'!$K23*'Vypocty indexu'!N31*'Cenova nabidka CNG'!$F19</f>
        <v>0</v>
      </c>
    </row>
    <row r="80" spans="2:14" ht="12.75" outlineLevel="1">
      <c r="B80" s="56">
        <v>18</v>
      </c>
      <c r="C80" s="47" t="s">
        <v>13</v>
      </c>
      <c r="D80" s="193"/>
      <c r="E80" s="118">
        <f>'NABIDKA DOPRAVCE'!$K24*'Vypocty indexu'!E32*'Cenova nabidka CNG'!$F20</f>
        <v>0.2756</v>
      </c>
      <c r="F80" s="118">
        <f>'NABIDKA DOPRAVCE'!$K24*'Vypocty indexu'!F32*'Cenova nabidka CNG'!$F20</f>
        <v>0</v>
      </c>
      <c r="G80" s="118">
        <f>'NABIDKA DOPRAVCE'!$K24*'Vypocty indexu'!G32*'Cenova nabidka CNG'!$F20</f>
        <v>0</v>
      </c>
      <c r="H80" s="118">
        <f>'NABIDKA DOPRAVCE'!$K24*'Vypocty indexu'!H32*'Cenova nabidka CNG'!$F20</f>
        <v>0</v>
      </c>
      <c r="I80" s="118">
        <f>'NABIDKA DOPRAVCE'!$K24*'Vypocty indexu'!I32*'Cenova nabidka CNG'!$F20</f>
        <v>0</v>
      </c>
      <c r="J80" s="118">
        <f>'NABIDKA DOPRAVCE'!$K24*'Vypocty indexu'!J32*'Cenova nabidka CNG'!$F20</f>
        <v>0</v>
      </c>
      <c r="K80" s="118">
        <f>'NABIDKA DOPRAVCE'!$K24*'Vypocty indexu'!K32*'Cenova nabidka CNG'!$F20</f>
        <v>0</v>
      </c>
      <c r="L80" s="118">
        <f>'NABIDKA DOPRAVCE'!$K24*'Vypocty indexu'!L32*'Cenova nabidka CNG'!$F20</f>
        <v>0</v>
      </c>
      <c r="M80" s="118">
        <f>'NABIDKA DOPRAVCE'!$K24*'Vypocty indexu'!M32*'Cenova nabidka CNG'!$F20</f>
        <v>0</v>
      </c>
      <c r="N80" s="118">
        <f>'NABIDKA DOPRAVCE'!$K24*'Vypocty indexu'!N32*'Cenova nabidka CNG'!$F20</f>
        <v>0</v>
      </c>
    </row>
    <row r="81" spans="2:14" ht="12.75" outlineLevel="1">
      <c r="B81" s="56">
        <v>19</v>
      </c>
      <c r="C81" s="47" t="s">
        <v>14</v>
      </c>
      <c r="D81" s="193"/>
      <c r="E81" s="118">
        <f>'NABIDKA DOPRAVCE'!$K25*'Vypocty indexu'!E33*'Cenova nabidka CNG'!$F21</f>
        <v>0.279834163000802</v>
      </c>
      <c r="F81" s="118">
        <f>'NABIDKA DOPRAVCE'!$K25*'Vypocty indexu'!F33*'Cenova nabidka CNG'!$F21</f>
        <v>0</v>
      </c>
      <c r="G81" s="118">
        <f>'NABIDKA DOPRAVCE'!$K25*'Vypocty indexu'!G33*'Cenova nabidka CNG'!$F21</f>
        <v>0</v>
      </c>
      <c r="H81" s="118">
        <f>'NABIDKA DOPRAVCE'!$K25*'Vypocty indexu'!H33*'Cenova nabidka CNG'!$F21</f>
        <v>0</v>
      </c>
      <c r="I81" s="118">
        <f>'NABIDKA DOPRAVCE'!$K25*'Vypocty indexu'!I33*'Cenova nabidka CNG'!$F21</f>
        <v>0</v>
      </c>
      <c r="J81" s="118">
        <f>'NABIDKA DOPRAVCE'!$K25*'Vypocty indexu'!J33*'Cenova nabidka CNG'!$F21</f>
        <v>0</v>
      </c>
      <c r="K81" s="118">
        <f>'NABIDKA DOPRAVCE'!$K25*'Vypocty indexu'!K33*'Cenova nabidka CNG'!$F21</f>
        <v>0</v>
      </c>
      <c r="L81" s="118">
        <f>'NABIDKA DOPRAVCE'!$K25*'Vypocty indexu'!L33*'Cenova nabidka CNG'!$F21</f>
        <v>0</v>
      </c>
      <c r="M81" s="118">
        <f>'NABIDKA DOPRAVCE'!$K25*'Vypocty indexu'!M33*'Cenova nabidka CNG'!$F21</f>
        <v>0</v>
      </c>
      <c r="N81" s="118">
        <f>'NABIDKA DOPRAVCE'!$K25*'Vypocty indexu'!N33*'Cenova nabidka CNG'!$F21</f>
        <v>0</v>
      </c>
    </row>
    <row r="82" spans="2:14" ht="12.75" outlineLevel="1">
      <c r="B82" s="56">
        <v>20</v>
      </c>
      <c r="C82" s="47" t="s">
        <v>15</v>
      </c>
      <c r="D82" s="193"/>
      <c r="E82" s="118">
        <f>'NABIDKA DOPRAVCE'!$K26*'Vypocty indexu'!E34*'Cenova nabidka CNG'!$F22</f>
        <v>0</v>
      </c>
      <c r="F82" s="118">
        <f>'NABIDKA DOPRAVCE'!$K26*'Vypocty indexu'!F34*'Cenova nabidka CNG'!$F22</f>
        <v>0</v>
      </c>
      <c r="G82" s="118">
        <f>'NABIDKA DOPRAVCE'!$K26*'Vypocty indexu'!G34*'Cenova nabidka CNG'!$F22</f>
        <v>0</v>
      </c>
      <c r="H82" s="118">
        <f>'NABIDKA DOPRAVCE'!$K26*'Vypocty indexu'!H34*'Cenova nabidka CNG'!$F22</f>
        <v>0</v>
      </c>
      <c r="I82" s="118">
        <f>'NABIDKA DOPRAVCE'!$K26*'Vypocty indexu'!I34*'Cenova nabidka CNG'!$F22</f>
        <v>0</v>
      </c>
      <c r="J82" s="118">
        <f>'NABIDKA DOPRAVCE'!$K26*'Vypocty indexu'!J34*'Cenova nabidka CNG'!$F22</f>
        <v>0</v>
      </c>
      <c r="K82" s="118">
        <f>'NABIDKA DOPRAVCE'!$K26*'Vypocty indexu'!K34*'Cenova nabidka CNG'!$F22</f>
        <v>0</v>
      </c>
      <c r="L82" s="118">
        <f>'NABIDKA DOPRAVCE'!$K26*'Vypocty indexu'!L34*'Cenova nabidka CNG'!$F22</f>
        <v>0</v>
      </c>
      <c r="M82" s="118">
        <f>'NABIDKA DOPRAVCE'!$K26*'Vypocty indexu'!M34*'Cenova nabidka CNG'!$F22</f>
        <v>0</v>
      </c>
      <c r="N82" s="118">
        <f>'NABIDKA DOPRAVCE'!$K26*'Vypocty indexu'!N34*'Cenova nabidka CNG'!$F22</f>
        <v>0</v>
      </c>
    </row>
    <row r="83" spans="2:14" ht="12.75" outlineLevel="1">
      <c r="B83" s="56">
        <v>21</v>
      </c>
      <c r="C83" s="47" t="s">
        <v>16</v>
      </c>
      <c r="D83" s="193"/>
      <c r="E83" s="118">
        <f>'NABIDKA DOPRAVCE'!$K27*'Vypocty indexu'!E35*'Cenova nabidka CNG'!$F23</f>
        <v>0.03196</v>
      </c>
      <c r="F83" s="118">
        <f>'NABIDKA DOPRAVCE'!$K27*'Vypocty indexu'!F35*'Cenova nabidka CNG'!$F23</f>
        <v>0</v>
      </c>
      <c r="G83" s="118">
        <f>'NABIDKA DOPRAVCE'!$K27*'Vypocty indexu'!G35*'Cenova nabidka CNG'!$F23</f>
        <v>0</v>
      </c>
      <c r="H83" s="118">
        <f>'NABIDKA DOPRAVCE'!$K27*'Vypocty indexu'!H35*'Cenova nabidka CNG'!$F23</f>
        <v>0</v>
      </c>
      <c r="I83" s="118">
        <f>'NABIDKA DOPRAVCE'!$K27*'Vypocty indexu'!I35*'Cenova nabidka CNG'!$F23</f>
        <v>0</v>
      </c>
      <c r="J83" s="118">
        <f>'NABIDKA DOPRAVCE'!$K27*'Vypocty indexu'!J35*'Cenova nabidka CNG'!$F23</f>
        <v>0</v>
      </c>
      <c r="K83" s="118">
        <f>'NABIDKA DOPRAVCE'!$K27*'Vypocty indexu'!K35*'Cenova nabidka CNG'!$F23</f>
        <v>0</v>
      </c>
      <c r="L83" s="118">
        <f>'NABIDKA DOPRAVCE'!$K27*'Vypocty indexu'!L35*'Cenova nabidka CNG'!$F23</f>
        <v>0</v>
      </c>
      <c r="M83" s="118">
        <f>'NABIDKA DOPRAVCE'!$K27*'Vypocty indexu'!M35*'Cenova nabidka CNG'!$F23</f>
        <v>0</v>
      </c>
      <c r="N83" s="118">
        <f>'NABIDKA DOPRAVCE'!$K27*'Vypocty indexu'!N35*'Cenova nabidka CNG'!$F23</f>
        <v>0</v>
      </c>
    </row>
    <row r="84" spans="2:14" ht="12.75" outlineLevel="1">
      <c r="B84" s="56">
        <v>22</v>
      </c>
      <c r="C84" s="47" t="s">
        <v>17</v>
      </c>
      <c r="D84" s="193"/>
      <c r="E84" s="118">
        <f>'NABIDKA DOPRAVCE'!$K28*'Vypocty indexu'!E36*'Cenova nabidka CNG'!$F24</f>
        <v>0</v>
      </c>
      <c r="F84" s="118">
        <f>'NABIDKA DOPRAVCE'!$K28*'Vypocty indexu'!F36*'Cenova nabidka CNG'!$F24</f>
        <v>0</v>
      </c>
      <c r="G84" s="118">
        <f>'NABIDKA DOPRAVCE'!$K28*'Vypocty indexu'!G36*'Cenova nabidka CNG'!$F24</f>
        <v>0</v>
      </c>
      <c r="H84" s="118">
        <f>'NABIDKA DOPRAVCE'!$K28*'Vypocty indexu'!H36*'Cenova nabidka CNG'!$F24</f>
        <v>0</v>
      </c>
      <c r="I84" s="118">
        <f>'NABIDKA DOPRAVCE'!$K28*'Vypocty indexu'!I36*'Cenova nabidka CNG'!$F24</f>
        <v>0</v>
      </c>
      <c r="J84" s="118">
        <f>'NABIDKA DOPRAVCE'!$K28*'Vypocty indexu'!J36*'Cenova nabidka CNG'!$F24</f>
        <v>0</v>
      </c>
      <c r="K84" s="118">
        <f>'NABIDKA DOPRAVCE'!$K28*'Vypocty indexu'!K36*'Cenova nabidka CNG'!$F24</f>
        <v>0</v>
      </c>
      <c r="L84" s="118">
        <f>'NABIDKA DOPRAVCE'!$K28*'Vypocty indexu'!L36*'Cenova nabidka CNG'!$F24</f>
        <v>0</v>
      </c>
      <c r="M84" s="118">
        <f>'NABIDKA DOPRAVCE'!$K28*'Vypocty indexu'!M36*'Cenova nabidka CNG'!$F24</f>
        <v>0</v>
      </c>
      <c r="N84" s="118">
        <f>'NABIDKA DOPRAVCE'!$K28*'Vypocty indexu'!N36*'Cenova nabidka CNG'!$F24</f>
        <v>0</v>
      </c>
    </row>
    <row r="85" spans="2:14" ht="12.75" outlineLevel="1">
      <c r="B85" s="56">
        <v>23</v>
      </c>
      <c r="C85" s="47" t="s">
        <v>18</v>
      </c>
      <c r="D85" s="193"/>
      <c r="E85" s="118">
        <f>'NABIDKA DOPRAVCE'!$K29*'Vypocty indexu'!E37*'Cenova nabidka CNG'!$F25</f>
        <v>0.3375</v>
      </c>
      <c r="F85" s="118">
        <f>'NABIDKA DOPRAVCE'!$K29*'Vypocty indexu'!F37*'Cenova nabidka CNG'!$F25</f>
        <v>0</v>
      </c>
      <c r="G85" s="118">
        <f>'NABIDKA DOPRAVCE'!$K29*'Vypocty indexu'!G37*'Cenova nabidka CNG'!$F25</f>
        <v>0</v>
      </c>
      <c r="H85" s="118">
        <f>'NABIDKA DOPRAVCE'!$K29*'Vypocty indexu'!H37*'Cenova nabidka CNG'!$F25</f>
        <v>0</v>
      </c>
      <c r="I85" s="118">
        <f>'NABIDKA DOPRAVCE'!$K29*'Vypocty indexu'!I37*'Cenova nabidka CNG'!$F25</f>
        <v>0</v>
      </c>
      <c r="J85" s="118">
        <f>'NABIDKA DOPRAVCE'!$K29*'Vypocty indexu'!J37*'Cenova nabidka CNG'!$F25</f>
        <v>0</v>
      </c>
      <c r="K85" s="118">
        <f>'NABIDKA DOPRAVCE'!$K29*'Vypocty indexu'!K37*'Cenova nabidka CNG'!$F25</f>
        <v>0</v>
      </c>
      <c r="L85" s="118">
        <f>'NABIDKA DOPRAVCE'!$K29*'Vypocty indexu'!L37*'Cenova nabidka CNG'!$F25</f>
        <v>0</v>
      </c>
      <c r="M85" s="118">
        <f>'NABIDKA DOPRAVCE'!$K29*'Vypocty indexu'!M37*'Cenova nabidka CNG'!$F25</f>
        <v>0</v>
      </c>
      <c r="N85" s="118">
        <f>'NABIDKA DOPRAVCE'!$K29*'Vypocty indexu'!N37*'Cenova nabidka CNG'!$F25</f>
        <v>0</v>
      </c>
    </row>
    <row r="86" spans="2:14" ht="12.75" outlineLevel="1">
      <c r="B86" s="56">
        <v>24</v>
      </c>
      <c r="C86" s="47" t="s">
        <v>19</v>
      </c>
      <c r="D86" s="193"/>
      <c r="E86" s="118">
        <f>'NABIDKA DOPRAVCE'!$K30*'Vypocty indexu'!E38*'Cenova nabidka CNG'!$F26</f>
        <v>0.6375</v>
      </c>
      <c r="F86" s="118">
        <f>'NABIDKA DOPRAVCE'!$K30*'Vypocty indexu'!F38*'Cenova nabidka CNG'!$F26</f>
        <v>0</v>
      </c>
      <c r="G86" s="118">
        <f>'NABIDKA DOPRAVCE'!$K30*'Vypocty indexu'!G38*'Cenova nabidka CNG'!$F26</f>
        <v>0</v>
      </c>
      <c r="H86" s="118">
        <f>'NABIDKA DOPRAVCE'!$K30*'Vypocty indexu'!H38*'Cenova nabidka CNG'!$F26</f>
        <v>0</v>
      </c>
      <c r="I86" s="118">
        <f>'NABIDKA DOPRAVCE'!$K30*'Vypocty indexu'!I38*'Cenova nabidka CNG'!$F26</f>
        <v>0</v>
      </c>
      <c r="J86" s="118">
        <f>'NABIDKA DOPRAVCE'!$K30*'Vypocty indexu'!J38*'Cenova nabidka CNG'!$F26</f>
        <v>0</v>
      </c>
      <c r="K86" s="118">
        <f>'NABIDKA DOPRAVCE'!$K30*'Vypocty indexu'!K38*'Cenova nabidka CNG'!$F26</f>
        <v>0</v>
      </c>
      <c r="L86" s="118">
        <f>'NABIDKA DOPRAVCE'!$K30*'Vypocty indexu'!L38*'Cenova nabidka CNG'!$F26</f>
        <v>0</v>
      </c>
      <c r="M86" s="118">
        <f>'NABIDKA DOPRAVCE'!$K30*'Vypocty indexu'!M38*'Cenova nabidka CNG'!$F26</f>
        <v>0</v>
      </c>
      <c r="N86" s="118">
        <f>'NABIDKA DOPRAVCE'!$K30*'Vypocty indexu'!N38*'Cenova nabidka CNG'!$F26</f>
        <v>0</v>
      </c>
    </row>
    <row r="87" spans="2:14" ht="12.75" outlineLevel="1">
      <c r="B87" s="56">
        <v>25</v>
      </c>
      <c r="C87" s="47" t="s">
        <v>20</v>
      </c>
      <c r="D87" s="193"/>
      <c r="E87" s="118">
        <f>'NABIDKA DOPRAVCE'!$K31*'Vypocty indexu'!E39*'Cenova nabidka CNG'!$F27</f>
        <v>0.58</v>
      </c>
      <c r="F87" s="118">
        <f>'NABIDKA DOPRAVCE'!$K31*'Vypocty indexu'!F39*'Cenova nabidka CNG'!$F27</f>
        <v>0</v>
      </c>
      <c r="G87" s="118">
        <f>'NABIDKA DOPRAVCE'!$K31*'Vypocty indexu'!G39*'Cenova nabidka CNG'!$F27</f>
        <v>0</v>
      </c>
      <c r="H87" s="118">
        <f>'NABIDKA DOPRAVCE'!$K31*'Vypocty indexu'!H39*'Cenova nabidka CNG'!$F27</f>
        <v>0</v>
      </c>
      <c r="I87" s="118">
        <f>'NABIDKA DOPRAVCE'!$K31*'Vypocty indexu'!I39*'Cenova nabidka CNG'!$F27</f>
        <v>0</v>
      </c>
      <c r="J87" s="118">
        <f>'NABIDKA DOPRAVCE'!$K31*'Vypocty indexu'!J39*'Cenova nabidka CNG'!$F27</f>
        <v>0</v>
      </c>
      <c r="K87" s="118">
        <f>'NABIDKA DOPRAVCE'!$K31*'Vypocty indexu'!K39*'Cenova nabidka CNG'!$F27</f>
        <v>0</v>
      </c>
      <c r="L87" s="118">
        <f>'NABIDKA DOPRAVCE'!$K31*'Vypocty indexu'!L39*'Cenova nabidka CNG'!$F27</f>
        <v>0</v>
      </c>
      <c r="M87" s="118">
        <f>'NABIDKA DOPRAVCE'!$K31*'Vypocty indexu'!M39*'Cenova nabidka CNG'!$F27</f>
        <v>0</v>
      </c>
      <c r="N87" s="118">
        <f>'NABIDKA DOPRAVCE'!$K31*'Vypocty indexu'!N39*'Cenova nabidka CNG'!$F27</f>
        <v>0</v>
      </c>
    </row>
    <row r="88" spans="2:14" ht="12.75" outlineLevel="1">
      <c r="B88" s="67"/>
      <c r="C88" s="47"/>
      <c r="D88" s="193"/>
      <c r="E88" s="118"/>
      <c r="F88" s="118"/>
      <c r="G88" s="118"/>
      <c r="H88" s="118"/>
      <c r="I88" s="118"/>
      <c r="J88" s="118"/>
      <c r="K88" s="118"/>
      <c r="L88" s="118"/>
      <c r="M88" s="118"/>
      <c r="N88" s="118"/>
    </row>
    <row r="89" spans="2:14" ht="12.75" outlineLevel="1">
      <c r="B89" s="56">
        <v>97</v>
      </c>
      <c r="C89" s="47" t="s">
        <v>84</v>
      </c>
      <c r="D89" s="193"/>
      <c r="E89" s="118">
        <f>'NABIDKA DOPRAVCE'!$K33*'Vypocty indexu'!E41*'Cenova nabidka CNG'!$F29</f>
        <v>0</v>
      </c>
      <c r="F89" s="118">
        <f>'NABIDKA DOPRAVCE'!$K33*'Vypocty indexu'!F41*'Cenova nabidka CNG'!$F29</f>
        <v>0</v>
      </c>
      <c r="G89" s="118">
        <f>'NABIDKA DOPRAVCE'!$K33*'Vypocty indexu'!G41*'Cenova nabidka CNG'!$F29</f>
        <v>0</v>
      </c>
      <c r="H89" s="118">
        <f>'NABIDKA DOPRAVCE'!$K33*'Vypocty indexu'!H41*'Cenova nabidka CNG'!$F29</f>
        <v>0</v>
      </c>
      <c r="I89" s="118">
        <f>'NABIDKA DOPRAVCE'!$K33*'Vypocty indexu'!I41*'Cenova nabidka CNG'!$F29</f>
        <v>0</v>
      </c>
      <c r="J89" s="118">
        <f>'NABIDKA DOPRAVCE'!$K33*'Vypocty indexu'!J41*'Cenova nabidka CNG'!$F29</f>
        <v>0</v>
      </c>
      <c r="K89" s="118">
        <f>'NABIDKA DOPRAVCE'!$K33*'Vypocty indexu'!K41*'Cenova nabidka CNG'!$F29</f>
        <v>0</v>
      </c>
      <c r="L89" s="118">
        <f>'NABIDKA DOPRAVCE'!$K33*'Vypocty indexu'!L41*'Cenova nabidka CNG'!$F29</f>
        <v>0</v>
      </c>
      <c r="M89" s="118">
        <f>'NABIDKA DOPRAVCE'!$K33*'Vypocty indexu'!M41*'Cenova nabidka CNG'!$F29</f>
        <v>0</v>
      </c>
      <c r="N89" s="118">
        <f>'NABIDKA DOPRAVCE'!$K33*'Vypocty indexu'!N41*'Cenova nabidka CNG'!$F29</f>
        <v>0</v>
      </c>
    </row>
    <row r="90" spans="2:14" ht="12.75" outlineLevel="1">
      <c r="B90" s="56">
        <v>98</v>
      </c>
      <c r="C90" s="47" t="s">
        <v>44</v>
      </c>
      <c r="D90" s="193"/>
      <c r="E90" s="118">
        <f>'NABIDKA DOPRAVCE'!$K34*'Vypocty indexu'!E42*'Cenova nabidka CNG'!$F30</f>
        <v>0.1</v>
      </c>
      <c r="F90" s="118">
        <f>'NABIDKA DOPRAVCE'!$K34*'Vypocty indexu'!F42*'Cenova nabidka CNG'!$F30</f>
        <v>0</v>
      </c>
      <c r="G90" s="118">
        <f>'NABIDKA DOPRAVCE'!$K34*'Vypocty indexu'!G42*'Cenova nabidka CNG'!$F30</f>
        <v>0</v>
      </c>
      <c r="H90" s="118">
        <f>'NABIDKA DOPRAVCE'!$K34*'Vypocty indexu'!H42*'Cenova nabidka CNG'!$F30</f>
        <v>0</v>
      </c>
      <c r="I90" s="118">
        <f>'NABIDKA DOPRAVCE'!$K34*'Vypocty indexu'!I42*'Cenova nabidka CNG'!$F30</f>
        <v>0</v>
      </c>
      <c r="J90" s="118">
        <f>'NABIDKA DOPRAVCE'!$K34*'Vypocty indexu'!J42*'Cenova nabidka CNG'!$F30</f>
        <v>0</v>
      </c>
      <c r="K90" s="118">
        <f>'NABIDKA DOPRAVCE'!$K34*'Vypocty indexu'!K42*'Cenova nabidka CNG'!$F30</f>
        <v>0</v>
      </c>
      <c r="L90" s="118">
        <f>'NABIDKA DOPRAVCE'!$K34*'Vypocty indexu'!L42*'Cenova nabidka CNG'!$F30</f>
        <v>0</v>
      </c>
      <c r="M90" s="118">
        <f>'NABIDKA DOPRAVCE'!$K34*'Vypocty indexu'!M42*'Cenova nabidka CNG'!$F30</f>
        <v>0</v>
      </c>
      <c r="N90" s="118">
        <f>'NABIDKA DOPRAVCE'!$K34*'Vypocty indexu'!N42*'Cenova nabidka CNG'!$F30</f>
        <v>0</v>
      </c>
    </row>
    <row r="91" spans="2:14" ht="12.75" outlineLevel="1">
      <c r="B91" s="56">
        <v>99</v>
      </c>
      <c r="C91" s="47" t="s">
        <v>226</v>
      </c>
      <c r="D91" s="193"/>
      <c r="E91" s="749" t="s">
        <v>228</v>
      </c>
      <c r="F91" s="750"/>
      <c r="G91" s="750"/>
      <c r="H91" s="750"/>
      <c r="I91" s="750"/>
      <c r="J91" s="750"/>
      <c r="K91" s="750"/>
      <c r="L91" s="750"/>
      <c r="M91" s="750"/>
      <c r="N91" s="751"/>
    </row>
    <row r="92" spans="2:14" ht="12.75">
      <c r="B92" s="56"/>
      <c r="C92" s="63" t="s">
        <v>107</v>
      </c>
      <c r="D92" s="28"/>
      <c r="E92" s="119">
        <f aca="true" t="shared" si="3" ref="E92:N92">ROUND(SUM(E67:E90),2)</f>
        <v>17.03</v>
      </c>
      <c r="F92" s="119">
        <f t="shared" si="3"/>
        <v>0</v>
      </c>
      <c r="G92" s="119">
        <f t="shared" si="3"/>
        <v>0</v>
      </c>
      <c r="H92" s="119">
        <f t="shared" si="3"/>
        <v>0</v>
      </c>
      <c r="I92" s="119">
        <f t="shared" si="3"/>
        <v>0</v>
      </c>
      <c r="J92" s="119">
        <f t="shared" si="3"/>
        <v>0</v>
      </c>
      <c r="K92" s="119">
        <f t="shared" si="3"/>
        <v>0</v>
      </c>
      <c r="L92" s="119">
        <f t="shared" si="3"/>
        <v>0</v>
      </c>
      <c r="M92" s="119">
        <f t="shared" si="3"/>
        <v>0</v>
      </c>
      <c r="N92" s="119">
        <f t="shared" si="3"/>
        <v>0</v>
      </c>
    </row>
    <row r="93" spans="5:15" s="54" customFormat="1" ht="12.75" customHeight="1">
      <c r="E93" s="117"/>
      <c r="F93" s="117"/>
      <c r="G93" s="117"/>
      <c r="H93" s="117"/>
      <c r="I93" s="117"/>
      <c r="J93" s="117"/>
      <c r="K93" s="117"/>
      <c r="L93" s="117"/>
      <c r="M93" s="117"/>
      <c r="N93" s="117"/>
      <c r="O93" s="116"/>
    </row>
    <row r="94" s="9" customFormat="1" ht="12.75" customHeight="1" hidden="1">
      <c r="O94" s="88"/>
    </row>
    <row r="95" s="9" customFormat="1" ht="12.75" customHeight="1" hidden="1">
      <c r="O95" s="88"/>
    </row>
    <row r="96" s="9" customFormat="1" ht="12.75" customHeight="1" hidden="1">
      <c r="O96" s="88"/>
    </row>
    <row r="97" s="9" customFormat="1" ht="12.75" customHeight="1" hidden="1">
      <c r="O97" s="88"/>
    </row>
    <row r="98" s="9" customFormat="1" ht="12.75" customHeight="1" hidden="1">
      <c r="O98" s="88"/>
    </row>
    <row r="99" s="9" customFormat="1" ht="12.75" customHeight="1" hidden="1">
      <c r="O99" s="88"/>
    </row>
    <row r="100" s="9" customFormat="1" ht="12.75" customHeight="1" hidden="1">
      <c r="O100" s="88"/>
    </row>
    <row r="101" s="9" customFormat="1" ht="12.75" customHeight="1" hidden="1">
      <c r="O101" s="88"/>
    </row>
    <row r="102" s="9" customFormat="1" ht="12.75" customHeight="1" hidden="1">
      <c r="O102" s="88"/>
    </row>
    <row r="103" s="9" customFormat="1" ht="12.75" customHeight="1" hidden="1">
      <c r="O103" s="88"/>
    </row>
    <row r="104" s="9" customFormat="1" ht="12.75" customHeight="1" hidden="1">
      <c r="O104" s="88"/>
    </row>
    <row r="105" s="9" customFormat="1" ht="12.75" customHeight="1" hidden="1">
      <c r="O105" s="88"/>
    </row>
    <row r="106" s="9" customFormat="1" ht="12.75" customHeight="1" hidden="1">
      <c r="O106" s="88"/>
    </row>
    <row r="107" s="9" customFormat="1" ht="12.75" customHeight="1" hidden="1">
      <c r="O107" s="88"/>
    </row>
    <row r="108" s="9" customFormat="1" ht="12.75" customHeight="1" hidden="1">
      <c r="O108" s="88"/>
    </row>
    <row r="109" s="9" customFormat="1" ht="12.75" customHeight="1" hidden="1">
      <c r="O109" s="88"/>
    </row>
    <row r="110" s="9" customFormat="1" ht="12.75" customHeight="1" hidden="1">
      <c r="O110" s="88"/>
    </row>
    <row r="111" s="9" customFormat="1" ht="12.75" customHeight="1" hidden="1">
      <c r="O111" s="88"/>
    </row>
    <row r="112" s="9" customFormat="1" ht="12.75" customHeight="1" hidden="1">
      <c r="O112" s="88"/>
    </row>
    <row r="113" s="9" customFormat="1" ht="12.75" customHeight="1" hidden="1">
      <c r="O113" s="88"/>
    </row>
    <row r="114" s="9" customFormat="1" ht="12.75" customHeight="1" hidden="1">
      <c r="O114" s="88"/>
    </row>
    <row r="115" s="9" customFormat="1" ht="12.75" customHeight="1" hidden="1">
      <c r="O115" s="88"/>
    </row>
    <row r="116" s="9" customFormat="1" ht="12.75" customHeight="1" hidden="1">
      <c r="O116" s="88"/>
    </row>
    <row r="117" s="9" customFormat="1" ht="12.75" customHeight="1" hidden="1">
      <c r="O117" s="88"/>
    </row>
    <row r="118" ht="12.75" customHeight="1" hidden="1"/>
    <row r="119" ht="12.75" customHeight="1" hidden="1"/>
    <row r="120" ht="12.75" customHeight="1" hidden="1"/>
    <row r="121" ht="12.75" customHeight="1" hidden="1"/>
    <row r="122" ht="12.75" customHeight="1" hidden="1"/>
    <row r="123" ht="12.75" customHeight="1" hidden="1"/>
    <row r="124" ht="12.75" customHeight="1" hidden="1"/>
  </sheetData>
  <sheetProtection password="EEFD" sheet="1" scenarios="1" formatRows="0"/>
  <mergeCells count="2">
    <mergeCell ref="E91:N91"/>
    <mergeCell ref="E62:N62"/>
  </mergeCells>
  <conditionalFormatting sqref="E33:N33">
    <cfRule type="expression" priority="1" dxfId="0">
      <formula>OR(E33&lt;SH,E33&gt;HH)</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43" r:id="rId1"/>
  <headerFooter>
    <oddHeader>&amp;C&amp;F</oddHeader>
    <oddFooter>&amp;C&amp;A</oddFooter>
  </headerFooter>
  <rowBreaks count="2" manualBreakCount="2">
    <brk id="34" max="16383" man="1"/>
    <brk id="6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1DAFF"/>
    <pageSetUpPr fitToPage="1"/>
  </sheetPr>
  <dimension ref="B2:O117"/>
  <sheetViews>
    <sheetView tabSelected="1" zoomScaleSheetLayoutView="100" workbookViewId="0" topLeftCell="A1"/>
  </sheetViews>
  <sheetFormatPr defaultColWidth="0" defaultRowHeight="12.75" customHeight="1" zeroHeight="1" outlineLevelRow="1"/>
  <cols>
    <col min="1" max="1" width="4.7109375" style="10" customWidth="1"/>
    <col min="2" max="2" width="9.140625" style="10" customWidth="1"/>
    <col min="3" max="4" width="24.28125" style="10" customWidth="1"/>
    <col min="5" max="14" width="9.140625" style="10" customWidth="1"/>
    <col min="15" max="15" width="4.7109375" style="50" customWidth="1"/>
    <col min="16" max="16384" width="9.140625" style="10" hidden="1" customWidth="1"/>
  </cols>
  <sheetData>
    <row r="1" ht="12.75" customHeight="1"/>
    <row r="2" spans="2:5" ht="12.75" customHeight="1">
      <c r="B2" s="11" t="s">
        <v>118</v>
      </c>
      <c r="E2" s="11" t="s">
        <v>261</v>
      </c>
    </row>
    <row r="3" ht="12.75" customHeight="1"/>
    <row r="4" spans="5:14" ht="12.75" customHeight="1">
      <c r="E4" s="183" t="s">
        <v>131</v>
      </c>
      <c r="F4" s="184"/>
      <c r="G4" s="184"/>
      <c r="H4" s="184"/>
      <c r="I4" s="184"/>
      <c r="J4" s="184"/>
      <c r="K4" s="184"/>
      <c r="L4" s="184"/>
      <c r="M4" s="184"/>
      <c r="N4" s="185"/>
    </row>
    <row r="5" spans="5:14" ht="12.75" customHeight="1">
      <c r="E5" s="22">
        <f>VR</f>
        <v>1</v>
      </c>
      <c r="F5" s="58">
        <f>E5+1</f>
        <v>2</v>
      </c>
      <c r="G5" s="58">
        <f aca="true" t="shared" si="0" ref="G5:N5">F5+1</f>
        <v>3</v>
      </c>
      <c r="H5" s="58">
        <f t="shared" si="0"/>
        <v>4</v>
      </c>
      <c r="I5" s="58">
        <f t="shared" si="0"/>
        <v>5</v>
      </c>
      <c r="J5" s="58">
        <f t="shared" si="0"/>
        <v>6</v>
      </c>
      <c r="K5" s="58">
        <f t="shared" si="0"/>
        <v>7</v>
      </c>
      <c r="L5" s="58">
        <f t="shared" si="0"/>
        <v>8</v>
      </c>
      <c r="M5" s="58">
        <f t="shared" si="0"/>
        <v>9</v>
      </c>
      <c r="N5" s="58">
        <f t="shared" si="0"/>
        <v>10</v>
      </c>
    </row>
    <row r="6" spans="2:14" ht="12.75">
      <c r="B6" s="11" t="str">
        <f>'Beh smlouvy'!B12</f>
        <v>Cena za Vozokm (bez přejezdů)</v>
      </c>
      <c r="D6" s="54"/>
      <c r="E6" s="194"/>
      <c r="F6" s="99"/>
      <c r="G6" s="99"/>
      <c r="H6" s="99"/>
      <c r="I6" s="99"/>
      <c r="J6" s="99"/>
      <c r="K6" s="99"/>
      <c r="L6" s="99"/>
      <c r="M6" s="99"/>
      <c r="N6" s="100"/>
    </row>
    <row r="7" spans="2:14" ht="12.75" outlineLevel="1">
      <c r="B7" s="53" t="s">
        <v>35</v>
      </c>
      <c r="C7" s="53" t="s">
        <v>65</v>
      </c>
      <c r="D7" s="54"/>
      <c r="E7" s="84"/>
      <c r="F7" s="186"/>
      <c r="G7" s="186"/>
      <c r="H7" s="186"/>
      <c r="I7" s="186"/>
      <c r="J7" s="186"/>
      <c r="K7" s="186"/>
      <c r="L7" s="186"/>
      <c r="M7" s="186"/>
      <c r="N7" s="195"/>
    </row>
    <row r="8" spans="2:14" ht="12.75" outlineLevel="1">
      <c r="B8" s="56" t="s">
        <v>22</v>
      </c>
      <c r="C8" s="47" t="s">
        <v>125</v>
      </c>
      <c r="D8" s="193"/>
      <c r="E8" s="120">
        <f>'NABIDKA DOPRAVCE'!$L11*'Vypocty indexu'!E19*('Cenova nabidka ELEKTRO'!$F7+IF(OR(E$33&lt;SH,E$33&gt;HH),'Cenova nabidka ELEKTRO'!$G7*1/(1+E$33)*IF(NaPoVo=0,0,'Beh smlouvy'!D$8/NaPoVo)+'Cenova nabidka ELEKTRO'!$H7*1/(1+E$33),'Cenova nabidka ELEKTRO'!$G7+'Cenova nabidka ELEKTRO'!$H7))</f>
        <v>0</v>
      </c>
      <c r="F8" s="120">
        <f>'NABIDKA DOPRAVCE'!$L11*'Vypocty indexu'!F19*('Cenova nabidka ELEKTRO'!$F7+IF(OR(F$33&lt;SH,F$33&gt;HH),'Cenova nabidka ELEKTRO'!$G7*1/(1+F$33)*IF(NaPoVo=0,0,'Beh smlouvy'!E$8/NaPoVo)+'Cenova nabidka ELEKTRO'!$H7*1/(1+F$33),'Cenova nabidka ELEKTRO'!$G7+'Cenova nabidka ELEKTRO'!$H7))</f>
        <v>0</v>
      </c>
      <c r="G8" s="120">
        <f>'NABIDKA DOPRAVCE'!$L11*'Vypocty indexu'!G19*('Cenova nabidka ELEKTRO'!$F7+IF(OR(G$33&lt;SH,G$33&gt;HH),'Cenova nabidka ELEKTRO'!$G7*1/(1+G$33)*IF(NaPoVo=0,0,'Beh smlouvy'!F$8/NaPoVo)+'Cenova nabidka ELEKTRO'!$H7*1/(1+G$33),'Cenova nabidka ELEKTRO'!$G7+'Cenova nabidka ELEKTRO'!$H7))</f>
        <v>0</v>
      </c>
      <c r="H8" s="120">
        <f>'NABIDKA DOPRAVCE'!$L11*'Vypocty indexu'!H19*('Cenova nabidka ELEKTRO'!$F7+IF(OR(H$33&lt;SH,H$33&gt;HH),'Cenova nabidka ELEKTRO'!$G7*1/(1+H$33)*IF(NaPoVo=0,0,'Beh smlouvy'!G$8/NaPoVo)+'Cenova nabidka ELEKTRO'!$H7*1/(1+H$33),'Cenova nabidka ELEKTRO'!$G7+'Cenova nabidka ELEKTRO'!$H7))</f>
        <v>0</v>
      </c>
      <c r="I8" s="120">
        <f>'NABIDKA DOPRAVCE'!$L11*'Vypocty indexu'!I19*('Cenova nabidka ELEKTRO'!$F7+IF(OR(I$33&lt;SH,I$33&gt;HH),'Cenova nabidka ELEKTRO'!$G7*1/(1+I$33)*IF(NaPoVo=0,0,'Beh smlouvy'!H$8/NaPoVo)+'Cenova nabidka ELEKTRO'!$H7*1/(1+I$33),'Cenova nabidka ELEKTRO'!$G7+'Cenova nabidka ELEKTRO'!$H7))</f>
        <v>0</v>
      </c>
      <c r="J8" s="120">
        <f>'NABIDKA DOPRAVCE'!$L11*'Vypocty indexu'!J19*('Cenova nabidka ELEKTRO'!$F7+IF(OR(J$33&lt;SH,J$33&gt;HH),'Cenova nabidka ELEKTRO'!$G7*1/(1+J$33)*IF(NaPoVo=0,0,'Beh smlouvy'!I$8/NaPoVo)+'Cenova nabidka ELEKTRO'!$H7*1/(1+J$33),'Cenova nabidka ELEKTRO'!$G7+'Cenova nabidka ELEKTRO'!$H7))</f>
        <v>0</v>
      </c>
      <c r="K8" s="120">
        <f>'NABIDKA DOPRAVCE'!$L11*'Vypocty indexu'!K19*('Cenova nabidka ELEKTRO'!$F7+IF(OR(K$33&lt;SH,K$33&gt;HH),'Cenova nabidka ELEKTRO'!$G7*1/(1+K$33)*IF(NaPoVo=0,0,'Beh smlouvy'!J$8/NaPoVo)+'Cenova nabidka ELEKTRO'!$H7*1/(1+K$33),'Cenova nabidka ELEKTRO'!$G7+'Cenova nabidka ELEKTRO'!$H7))</f>
        <v>0</v>
      </c>
      <c r="L8" s="120">
        <f>'NABIDKA DOPRAVCE'!$L11*'Vypocty indexu'!L19*('Cenova nabidka ELEKTRO'!$F7+IF(OR(L$33&lt;SH,L$33&gt;HH),'Cenova nabidka ELEKTRO'!$G7*1/(1+L$33)*IF(NaPoVo=0,0,'Beh smlouvy'!K$8/NaPoVo)+'Cenova nabidka ELEKTRO'!$H7*1/(1+L$33),'Cenova nabidka ELEKTRO'!$G7+'Cenova nabidka ELEKTRO'!$H7))</f>
        <v>0</v>
      </c>
      <c r="M8" s="120">
        <f>'NABIDKA DOPRAVCE'!$L11*'Vypocty indexu'!M19*('Cenova nabidka ELEKTRO'!$F7+IF(OR(M$33&lt;SH,M$33&gt;HH),'Cenova nabidka ELEKTRO'!$G7*1/(1+M$33)*IF(NaPoVo=0,0,'Beh smlouvy'!L$8/NaPoVo)+'Cenova nabidka ELEKTRO'!$H7*1/(1+M$33),'Cenova nabidka ELEKTRO'!$G7+'Cenova nabidka ELEKTRO'!$H7))</f>
        <v>0</v>
      </c>
      <c r="N8" s="120">
        <f>'NABIDKA DOPRAVCE'!$L11*'Vypocty indexu'!N19*('Cenova nabidka ELEKTRO'!$F7+IF(OR(N$33&lt;SH,N$33&gt;HH),'Cenova nabidka ELEKTRO'!$G7*1/(1+N$33)*IF(NaPoVo=0,0,'Beh smlouvy'!M$8/NaPoVo)+'Cenova nabidka ELEKTRO'!$H7*1/(1+N$33),'Cenova nabidka ELEKTRO'!$G7+'Cenova nabidka ELEKTRO'!$H7))</f>
        <v>0</v>
      </c>
    </row>
    <row r="9" spans="2:14" ht="12.75" outlineLevel="1">
      <c r="B9" s="56" t="s">
        <v>23</v>
      </c>
      <c r="C9" s="47" t="s">
        <v>126</v>
      </c>
      <c r="D9" s="193"/>
      <c r="E9" s="120">
        <f>'NABIDKA DOPRAVCE'!$L12*'Vypocty indexu'!E20*('Cenova nabidka ELEKTRO'!$F8+IF(OR(E$33&lt;SH,E$33&gt;HH),'Cenova nabidka ELEKTRO'!$G8*1/(1+E$33)*IF(NaPoVo=0,0,'Beh smlouvy'!D$8/NaPoVo)+'Cenova nabidka ELEKTRO'!$H8*1/(1+E$33),'Cenova nabidka ELEKTRO'!$G8+'Cenova nabidka ELEKTRO'!$H8))</f>
        <v>0</v>
      </c>
      <c r="F9" s="120">
        <f>'NABIDKA DOPRAVCE'!$L12*'Vypocty indexu'!F20*('Cenova nabidka ELEKTRO'!$F8+IF(OR(F$33&lt;SH,F$33&gt;HH),'Cenova nabidka ELEKTRO'!$G8*1/(1+F$33)*IF(NaPoVo=0,0,'Beh smlouvy'!E$8/NaPoVo)+'Cenova nabidka ELEKTRO'!$H8*1/(1+F$33),'Cenova nabidka ELEKTRO'!$G8+'Cenova nabidka ELEKTRO'!$H8))</f>
        <v>0</v>
      </c>
      <c r="G9" s="120">
        <f>'NABIDKA DOPRAVCE'!$L12*'Vypocty indexu'!G20*('Cenova nabidka ELEKTRO'!$F8+IF(OR(G$33&lt;SH,G$33&gt;HH),'Cenova nabidka ELEKTRO'!$G8*1/(1+G$33)*IF(NaPoVo=0,0,'Beh smlouvy'!F$8/NaPoVo)+'Cenova nabidka ELEKTRO'!$H8*1/(1+G$33),'Cenova nabidka ELEKTRO'!$G8+'Cenova nabidka ELEKTRO'!$H8))</f>
        <v>0</v>
      </c>
      <c r="H9" s="120">
        <f>'NABIDKA DOPRAVCE'!$L12*'Vypocty indexu'!H20*('Cenova nabidka ELEKTRO'!$F8+IF(OR(H$33&lt;SH,H$33&gt;HH),'Cenova nabidka ELEKTRO'!$G8*1/(1+H$33)*IF(NaPoVo=0,0,'Beh smlouvy'!G$8/NaPoVo)+'Cenova nabidka ELEKTRO'!$H8*1/(1+H$33),'Cenova nabidka ELEKTRO'!$G8+'Cenova nabidka ELEKTRO'!$H8))</f>
        <v>0</v>
      </c>
      <c r="I9" s="120">
        <f>'NABIDKA DOPRAVCE'!$L12*'Vypocty indexu'!I20*('Cenova nabidka ELEKTRO'!$F8+IF(OR(I$33&lt;SH,I$33&gt;HH),'Cenova nabidka ELEKTRO'!$G8*1/(1+I$33)*IF(NaPoVo=0,0,'Beh smlouvy'!H$8/NaPoVo)+'Cenova nabidka ELEKTRO'!$H8*1/(1+I$33),'Cenova nabidka ELEKTRO'!$G8+'Cenova nabidka ELEKTRO'!$H8))</f>
        <v>0</v>
      </c>
      <c r="J9" s="120">
        <f>'NABIDKA DOPRAVCE'!$L12*'Vypocty indexu'!J20*('Cenova nabidka ELEKTRO'!$F8+IF(OR(J$33&lt;SH,J$33&gt;HH),'Cenova nabidka ELEKTRO'!$G8*1/(1+J$33)*IF(NaPoVo=0,0,'Beh smlouvy'!I$8/NaPoVo)+'Cenova nabidka ELEKTRO'!$H8*1/(1+J$33),'Cenova nabidka ELEKTRO'!$G8+'Cenova nabidka ELEKTRO'!$H8))</f>
        <v>0</v>
      </c>
      <c r="K9" s="120">
        <f>'NABIDKA DOPRAVCE'!$L12*'Vypocty indexu'!K20*('Cenova nabidka ELEKTRO'!$F8+IF(OR(K$33&lt;SH,K$33&gt;HH),'Cenova nabidka ELEKTRO'!$G8*1/(1+K$33)*IF(NaPoVo=0,0,'Beh smlouvy'!J$8/NaPoVo)+'Cenova nabidka ELEKTRO'!$H8*1/(1+K$33),'Cenova nabidka ELEKTRO'!$G8+'Cenova nabidka ELEKTRO'!$H8))</f>
        <v>0</v>
      </c>
      <c r="L9" s="120">
        <f>'NABIDKA DOPRAVCE'!$L12*'Vypocty indexu'!L20*('Cenova nabidka ELEKTRO'!$F8+IF(OR(L$33&lt;SH,L$33&gt;HH),'Cenova nabidka ELEKTRO'!$G8*1/(1+L$33)*IF(NaPoVo=0,0,'Beh smlouvy'!K$8/NaPoVo)+'Cenova nabidka ELEKTRO'!$H8*1/(1+L$33),'Cenova nabidka ELEKTRO'!$G8+'Cenova nabidka ELEKTRO'!$H8))</f>
        <v>0</v>
      </c>
      <c r="M9" s="120">
        <f>'NABIDKA DOPRAVCE'!$L12*'Vypocty indexu'!M20*('Cenova nabidka ELEKTRO'!$F8+IF(OR(M$33&lt;SH,M$33&gt;HH),'Cenova nabidka ELEKTRO'!$G8*1/(1+M$33)*IF(NaPoVo=0,0,'Beh smlouvy'!L$8/NaPoVo)+'Cenova nabidka ELEKTRO'!$H8*1/(1+M$33),'Cenova nabidka ELEKTRO'!$G8+'Cenova nabidka ELEKTRO'!$H8))</f>
        <v>0</v>
      </c>
      <c r="N9" s="120">
        <f>'NABIDKA DOPRAVCE'!$L12*'Vypocty indexu'!N20*('Cenova nabidka ELEKTRO'!$F8+IF(OR(N$33&lt;SH,N$33&gt;HH),'Cenova nabidka ELEKTRO'!$G8*1/(1+N$33)*IF(NaPoVo=0,0,'Beh smlouvy'!M$8/NaPoVo)+'Cenova nabidka ELEKTRO'!$H8*1/(1+N$33),'Cenova nabidka ELEKTRO'!$G8+'Cenova nabidka ELEKTRO'!$H8))</f>
        <v>0</v>
      </c>
    </row>
    <row r="10" spans="2:14" ht="12.75" outlineLevel="1">
      <c r="B10" s="56" t="s">
        <v>24</v>
      </c>
      <c r="C10" s="47" t="s">
        <v>262</v>
      </c>
      <c r="D10" s="193"/>
      <c r="E10" s="120">
        <f>'NABIDKA DOPRAVCE'!$L13*'Vypocty indexu'!E21*('Cenova nabidka ELEKTRO'!$F9+IF(OR(E$33&lt;SH,E$33&gt;HH),'Cenova nabidka ELEKTRO'!$G9*1/(1+E$33)*IF(NaPoVo=0,0,'Beh smlouvy'!D$8/NaPoVo)+'Cenova nabidka ELEKTRO'!$H9*1/(1+E$33),'Cenova nabidka ELEKTRO'!$G9+'Cenova nabidka ELEKTRO'!$H9))</f>
        <v>0</v>
      </c>
      <c r="F10" s="120">
        <f>'NABIDKA DOPRAVCE'!$L13*'Vypocty indexu'!F21*('Cenova nabidka ELEKTRO'!$F9+IF(OR(F$33&lt;SH,F$33&gt;HH),'Cenova nabidka ELEKTRO'!$G9*1/(1+F$33)*IF(NaPoVo=0,0,'Beh smlouvy'!E$8/NaPoVo)+'Cenova nabidka ELEKTRO'!$H9*1/(1+F$33),'Cenova nabidka ELEKTRO'!$G9+'Cenova nabidka ELEKTRO'!$H9))</f>
        <v>0</v>
      </c>
      <c r="G10" s="120">
        <f>'NABIDKA DOPRAVCE'!$L13*'Vypocty indexu'!G21*('Cenova nabidka ELEKTRO'!$F9+IF(OR(G$33&lt;SH,G$33&gt;HH),'Cenova nabidka ELEKTRO'!$G9*1/(1+G$33)*IF(NaPoVo=0,0,'Beh smlouvy'!F$8/NaPoVo)+'Cenova nabidka ELEKTRO'!$H9*1/(1+G$33),'Cenova nabidka ELEKTRO'!$G9+'Cenova nabidka ELEKTRO'!$H9))</f>
        <v>0</v>
      </c>
      <c r="H10" s="120">
        <f>'NABIDKA DOPRAVCE'!$L13*'Vypocty indexu'!H21*('Cenova nabidka ELEKTRO'!$F9+IF(OR(H$33&lt;SH,H$33&gt;HH),'Cenova nabidka ELEKTRO'!$G9*1/(1+H$33)*IF(NaPoVo=0,0,'Beh smlouvy'!G$8/NaPoVo)+'Cenova nabidka ELEKTRO'!$H9*1/(1+H$33),'Cenova nabidka ELEKTRO'!$G9+'Cenova nabidka ELEKTRO'!$H9))</f>
        <v>0</v>
      </c>
      <c r="I10" s="120">
        <f>'NABIDKA DOPRAVCE'!$L13*'Vypocty indexu'!I21*('Cenova nabidka ELEKTRO'!$F9+IF(OR(I$33&lt;SH,I$33&gt;HH),'Cenova nabidka ELEKTRO'!$G9*1/(1+I$33)*IF(NaPoVo=0,0,'Beh smlouvy'!H$8/NaPoVo)+'Cenova nabidka ELEKTRO'!$H9*1/(1+I$33),'Cenova nabidka ELEKTRO'!$G9+'Cenova nabidka ELEKTRO'!$H9))</f>
        <v>0</v>
      </c>
      <c r="J10" s="120">
        <f>'NABIDKA DOPRAVCE'!$L13*'Vypocty indexu'!J21*('Cenova nabidka ELEKTRO'!$F9+IF(OR(J$33&lt;SH,J$33&gt;HH),'Cenova nabidka ELEKTRO'!$G9*1/(1+J$33)*IF(NaPoVo=0,0,'Beh smlouvy'!I$8/NaPoVo)+'Cenova nabidka ELEKTRO'!$H9*1/(1+J$33),'Cenova nabidka ELEKTRO'!$G9+'Cenova nabidka ELEKTRO'!$H9))</f>
        <v>0</v>
      </c>
      <c r="K10" s="120">
        <f>'NABIDKA DOPRAVCE'!$L13*'Vypocty indexu'!K21*('Cenova nabidka ELEKTRO'!$F9+IF(OR(K$33&lt;SH,K$33&gt;HH),'Cenova nabidka ELEKTRO'!$G9*1/(1+K$33)*IF(NaPoVo=0,0,'Beh smlouvy'!J$8/NaPoVo)+'Cenova nabidka ELEKTRO'!$H9*1/(1+K$33),'Cenova nabidka ELEKTRO'!$G9+'Cenova nabidka ELEKTRO'!$H9))</f>
        <v>0</v>
      </c>
      <c r="L10" s="120">
        <f>'NABIDKA DOPRAVCE'!$L13*'Vypocty indexu'!L21*('Cenova nabidka ELEKTRO'!$F9+IF(OR(L$33&lt;SH,L$33&gt;HH),'Cenova nabidka ELEKTRO'!$G9*1/(1+L$33)*IF(NaPoVo=0,0,'Beh smlouvy'!K$8/NaPoVo)+'Cenova nabidka ELEKTRO'!$H9*1/(1+L$33),'Cenova nabidka ELEKTRO'!$G9+'Cenova nabidka ELEKTRO'!$H9))</f>
        <v>0</v>
      </c>
      <c r="M10" s="120">
        <f>'NABIDKA DOPRAVCE'!$L13*'Vypocty indexu'!M21*('Cenova nabidka ELEKTRO'!$F9+IF(OR(M$33&lt;SH,M$33&gt;HH),'Cenova nabidka ELEKTRO'!$G9*1/(1+M$33)*IF(NaPoVo=0,0,'Beh smlouvy'!L$8/NaPoVo)+'Cenova nabidka ELEKTRO'!$H9*1/(1+M$33),'Cenova nabidka ELEKTRO'!$G9+'Cenova nabidka ELEKTRO'!$H9))</f>
        <v>0</v>
      </c>
      <c r="N10" s="120">
        <f>'NABIDKA DOPRAVCE'!$L13*'Vypocty indexu'!N21*('Cenova nabidka ELEKTRO'!$F9+IF(OR(N$33&lt;SH,N$33&gt;HH),'Cenova nabidka ELEKTRO'!$G9*1/(1+N$33)*IF(NaPoVo=0,0,'Beh smlouvy'!M$8/NaPoVo)+'Cenova nabidka ELEKTRO'!$H9*1/(1+N$33),'Cenova nabidka ELEKTRO'!$G9+'Cenova nabidka ELEKTRO'!$H9))</f>
        <v>0</v>
      </c>
    </row>
    <row r="11" spans="2:14" ht="12.75" outlineLevel="1">
      <c r="B11" s="56" t="s">
        <v>123</v>
      </c>
      <c r="C11" s="47" t="s">
        <v>127</v>
      </c>
      <c r="D11" s="193"/>
      <c r="E11" s="120">
        <f>'NABIDKA DOPRAVCE'!$L14*'Vypocty indexu'!E22*('Cenova nabidka ELEKTRO'!$F10+IF(OR(E$33&lt;SH,E$33&gt;HH),'Cenova nabidka ELEKTRO'!$G10*1/(1+E$33)*IF(NaPoVo=0,0,'Beh smlouvy'!D$8/NaPoVo)+'Cenova nabidka ELEKTRO'!$H10*1/(1+E$33),'Cenova nabidka ELEKTRO'!$G10+'Cenova nabidka ELEKTRO'!$H10))</f>
        <v>0</v>
      </c>
      <c r="F11" s="120">
        <f>'NABIDKA DOPRAVCE'!$L14*'Vypocty indexu'!F22*('Cenova nabidka ELEKTRO'!$F10+IF(OR(F$33&lt;SH,F$33&gt;HH),'Cenova nabidka ELEKTRO'!$G10*1/(1+F$33)*IF(NaPoVo=0,0,'Beh smlouvy'!E$8/NaPoVo)+'Cenova nabidka ELEKTRO'!$H10*1/(1+F$33),'Cenova nabidka ELEKTRO'!$G10+'Cenova nabidka ELEKTRO'!$H10))</f>
        <v>0</v>
      </c>
      <c r="G11" s="120">
        <f>'NABIDKA DOPRAVCE'!$L14*'Vypocty indexu'!G22*('Cenova nabidka ELEKTRO'!$F10+IF(OR(G$33&lt;SH,G$33&gt;HH),'Cenova nabidka ELEKTRO'!$G10*1/(1+G$33)*IF(NaPoVo=0,0,'Beh smlouvy'!F$8/NaPoVo)+'Cenova nabidka ELEKTRO'!$H10*1/(1+G$33),'Cenova nabidka ELEKTRO'!$G10+'Cenova nabidka ELEKTRO'!$H10))</f>
        <v>0</v>
      </c>
      <c r="H11" s="120">
        <f>'NABIDKA DOPRAVCE'!$L14*'Vypocty indexu'!H22*('Cenova nabidka ELEKTRO'!$F10+IF(OR(H$33&lt;SH,H$33&gt;HH),'Cenova nabidka ELEKTRO'!$G10*1/(1+H$33)*IF(NaPoVo=0,0,'Beh smlouvy'!G$8/NaPoVo)+'Cenova nabidka ELEKTRO'!$H10*1/(1+H$33),'Cenova nabidka ELEKTRO'!$G10+'Cenova nabidka ELEKTRO'!$H10))</f>
        <v>0</v>
      </c>
      <c r="I11" s="120">
        <f>'NABIDKA DOPRAVCE'!$L14*'Vypocty indexu'!I22*('Cenova nabidka ELEKTRO'!$F10+IF(OR(I$33&lt;SH,I$33&gt;HH),'Cenova nabidka ELEKTRO'!$G10*1/(1+I$33)*IF(NaPoVo=0,0,'Beh smlouvy'!H$8/NaPoVo)+'Cenova nabidka ELEKTRO'!$H10*1/(1+I$33),'Cenova nabidka ELEKTRO'!$G10+'Cenova nabidka ELEKTRO'!$H10))</f>
        <v>0</v>
      </c>
      <c r="J11" s="120">
        <f>'NABIDKA DOPRAVCE'!$L14*'Vypocty indexu'!J22*('Cenova nabidka ELEKTRO'!$F10+IF(OR(J$33&lt;SH,J$33&gt;HH),'Cenova nabidka ELEKTRO'!$G10*1/(1+J$33)*IF(NaPoVo=0,0,'Beh smlouvy'!I$8/NaPoVo)+'Cenova nabidka ELEKTRO'!$H10*1/(1+J$33),'Cenova nabidka ELEKTRO'!$G10+'Cenova nabidka ELEKTRO'!$H10))</f>
        <v>0</v>
      </c>
      <c r="K11" s="120">
        <f>'NABIDKA DOPRAVCE'!$L14*'Vypocty indexu'!K22*('Cenova nabidka ELEKTRO'!$F10+IF(OR(K$33&lt;SH,K$33&gt;HH),'Cenova nabidka ELEKTRO'!$G10*1/(1+K$33)*IF(NaPoVo=0,0,'Beh smlouvy'!J$8/NaPoVo)+'Cenova nabidka ELEKTRO'!$H10*1/(1+K$33),'Cenova nabidka ELEKTRO'!$G10+'Cenova nabidka ELEKTRO'!$H10))</f>
        <v>0</v>
      </c>
      <c r="L11" s="120">
        <f>'NABIDKA DOPRAVCE'!$L14*'Vypocty indexu'!L22*('Cenova nabidka ELEKTRO'!$F10+IF(OR(L$33&lt;SH,L$33&gt;HH),'Cenova nabidka ELEKTRO'!$G10*1/(1+L$33)*IF(NaPoVo=0,0,'Beh smlouvy'!K$8/NaPoVo)+'Cenova nabidka ELEKTRO'!$H10*1/(1+L$33),'Cenova nabidka ELEKTRO'!$G10+'Cenova nabidka ELEKTRO'!$H10))</f>
        <v>0</v>
      </c>
      <c r="M11" s="120">
        <f>'NABIDKA DOPRAVCE'!$L14*'Vypocty indexu'!M22*('Cenova nabidka ELEKTRO'!$F10+IF(OR(M$33&lt;SH,M$33&gt;HH),'Cenova nabidka ELEKTRO'!$G10*1/(1+M$33)*IF(NaPoVo=0,0,'Beh smlouvy'!L$8/NaPoVo)+'Cenova nabidka ELEKTRO'!$H10*1/(1+M$33),'Cenova nabidka ELEKTRO'!$G10+'Cenova nabidka ELEKTRO'!$H10))</f>
        <v>0</v>
      </c>
      <c r="N11" s="120">
        <f>'NABIDKA DOPRAVCE'!$L14*'Vypocty indexu'!N22*('Cenova nabidka ELEKTRO'!$F10+IF(OR(N$33&lt;SH,N$33&gt;HH),'Cenova nabidka ELEKTRO'!$G10*1/(1+N$33)*IF(NaPoVo=0,0,'Beh smlouvy'!M$8/NaPoVo)+'Cenova nabidka ELEKTRO'!$H10*1/(1+N$33),'Cenova nabidka ELEKTRO'!$G10+'Cenova nabidka ELEKTRO'!$H10))</f>
        <v>0</v>
      </c>
    </row>
    <row r="12" spans="2:14" ht="12.75" outlineLevel="1">
      <c r="B12" s="56">
        <v>12</v>
      </c>
      <c r="C12" s="47" t="s">
        <v>8</v>
      </c>
      <c r="D12" s="193"/>
      <c r="E12" s="120">
        <f>'NABIDKA DOPRAVCE'!$L15*'Vypocty indexu'!E23*('Cenova nabidka ELEKTRO'!$F11+IF(OR(E$33&lt;SH,E$33&gt;HH),'Cenova nabidka ELEKTRO'!$G11*1/(1+E$33)*IF(NaPoVo=0,0,'Beh smlouvy'!D$8/NaPoVo)+'Cenova nabidka ELEKTRO'!$H11*1/(1+E$33),'Cenova nabidka ELEKTRO'!$G11+'Cenova nabidka ELEKTRO'!$H11))</f>
        <v>0</v>
      </c>
      <c r="F12" s="120">
        <f>'NABIDKA DOPRAVCE'!$L15*'Vypocty indexu'!F23*('Cenova nabidka ELEKTRO'!$F11+IF(OR(F$33&lt;SH,F$33&gt;HH),'Cenova nabidka ELEKTRO'!$G11*1/(1+F$33)*IF(NaPoVo=0,0,'Beh smlouvy'!E$8/NaPoVo)+'Cenova nabidka ELEKTRO'!$H11*1/(1+F$33),'Cenova nabidka ELEKTRO'!$G11+'Cenova nabidka ELEKTRO'!$H11))</f>
        <v>0</v>
      </c>
      <c r="G12" s="120">
        <f>'NABIDKA DOPRAVCE'!$L15*'Vypocty indexu'!G23*('Cenova nabidka ELEKTRO'!$F11+IF(OR(G$33&lt;SH,G$33&gt;HH),'Cenova nabidka ELEKTRO'!$G11*1/(1+G$33)*IF(NaPoVo=0,0,'Beh smlouvy'!F$8/NaPoVo)+'Cenova nabidka ELEKTRO'!$H11*1/(1+G$33),'Cenova nabidka ELEKTRO'!$G11+'Cenova nabidka ELEKTRO'!$H11))</f>
        <v>0</v>
      </c>
      <c r="H12" s="120">
        <f>'NABIDKA DOPRAVCE'!$L15*'Vypocty indexu'!H23*('Cenova nabidka ELEKTRO'!$F11+IF(OR(H$33&lt;SH,H$33&gt;HH),'Cenova nabidka ELEKTRO'!$G11*1/(1+H$33)*IF(NaPoVo=0,0,'Beh smlouvy'!G$8/NaPoVo)+'Cenova nabidka ELEKTRO'!$H11*1/(1+H$33),'Cenova nabidka ELEKTRO'!$G11+'Cenova nabidka ELEKTRO'!$H11))</f>
        <v>0</v>
      </c>
      <c r="I12" s="120">
        <f>'NABIDKA DOPRAVCE'!$L15*'Vypocty indexu'!I23*('Cenova nabidka ELEKTRO'!$F11+IF(OR(I$33&lt;SH,I$33&gt;HH),'Cenova nabidka ELEKTRO'!$G11*1/(1+I$33)*IF(NaPoVo=0,0,'Beh smlouvy'!H$8/NaPoVo)+'Cenova nabidka ELEKTRO'!$H11*1/(1+I$33),'Cenova nabidka ELEKTRO'!$G11+'Cenova nabidka ELEKTRO'!$H11))</f>
        <v>0</v>
      </c>
      <c r="J12" s="120">
        <f>'NABIDKA DOPRAVCE'!$L15*'Vypocty indexu'!J23*('Cenova nabidka ELEKTRO'!$F11+IF(OR(J$33&lt;SH,J$33&gt;HH),'Cenova nabidka ELEKTRO'!$G11*1/(1+J$33)*IF(NaPoVo=0,0,'Beh smlouvy'!I$8/NaPoVo)+'Cenova nabidka ELEKTRO'!$H11*1/(1+J$33),'Cenova nabidka ELEKTRO'!$G11+'Cenova nabidka ELEKTRO'!$H11))</f>
        <v>0</v>
      </c>
      <c r="K12" s="120">
        <f>'NABIDKA DOPRAVCE'!$L15*'Vypocty indexu'!K23*('Cenova nabidka ELEKTRO'!$F11+IF(OR(K$33&lt;SH,K$33&gt;HH),'Cenova nabidka ELEKTRO'!$G11*1/(1+K$33)*IF(NaPoVo=0,0,'Beh smlouvy'!J$8/NaPoVo)+'Cenova nabidka ELEKTRO'!$H11*1/(1+K$33),'Cenova nabidka ELEKTRO'!$G11+'Cenova nabidka ELEKTRO'!$H11))</f>
        <v>0</v>
      </c>
      <c r="L12" s="120">
        <f>'NABIDKA DOPRAVCE'!$L15*'Vypocty indexu'!L23*('Cenova nabidka ELEKTRO'!$F11+IF(OR(L$33&lt;SH,L$33&gt;HH),'Cenova nabidka ELEKTRO'!$G11*1/(1+L$33)*IF(NaPoVo=0,0,'Beh smlouvy'!K$8/NaPoVo)+'Cenova nabidka ELEKTRO'!$H11*1/(1+L$33),'Cenova nabidka ELEKTRO'!$G11+'Cenova nabidka ELEKTRO'!$H11))</f>
        <v>0</v>
      </c>
      <c r="M12" s="120">
        <f>'NABIDKA DOPRAVCE'!$L15*'Vypocty indexu'!M23*('Cenova nabidka ELEKTRO'!$F11+IF(OR(M$33&lt;SH,M$33&gt;HH),'Cenova nabidka ELEKTRO'!$G11*1/(1+M$33)*IF(NaPoVo=0,0,'Beh smlouvy'!L$8/NaPoVo)+'Cenova nabidka ELEKTRO'!$H11*1/(1+M$33),'Cenova nabidka ELEKTRO'!$G11+'Cenova nabidka ELEKTRO'!$H11))</f>
        <v>0</v>
      </c>
      <c r="N12" s="120">
        <f>'NABIDKA DOPRAVCE'!$L15*'Vypocty indexu'!N23*('Cenova nabidka ELEKTRO'!$F11+IF(OR(N$33&lt;SH,N$33&gt;HH),'Cenova nabidka ELEKTRO'!$G11*1/(1+N$33)*IF(NaPoVo=0,0,'Beh smlouvy'!M$8/NaPoVo)+'Cenova nabidka ELEKTRO'!$H11*1/(1+N$33),'Cenova nabidka ELEKTRO'!$G11+'Cenova nabidka ELEKTRO'!$H11))</f>
        <v>0</v>
      </c>
    </row>
    <row r="13" spans="2:14" ht="12.75" outlineLevel="1">
      <c r="B13" s="56">
        <v>13</v>
      </c>
      <c r="C13" s="47" t="s">
        <v>9</v>
      </c>
      <c r="D13" s="193"/>
      <c r="E13" s="120">
        <f>'NABIDKA DOPRAVCE'!$L16*'Vypocty indexu'!E24*('Cenova nabidka ELEKTRO'!$F12+IF(OR(E$33&lt;SH,E$33&gt;HH),'Cenova nabidka ELEKTRO'!$G12*1/(1+E$33)*IF(NaPoVo=0,0,'Beh smlouvy'!D$8/NaPoVo)+'Cenova nabidka ELEKTRO'!$H12*1/(1+E$33),'Cenova nabidka ELEKTRO'!$G12+'Cenova nabidka ELEKTRO'!$H12))</f>
        <v>0</v>
      </c>
      <c r="F13" s="120">
        <f>'NABIDKA DOPRAVCE'!$L16*'Vypocty indexu'!F24*('Cenova nabidka ELEKTRO'!$F12+IF(OR(F$33&lt;SH,F$33&gt;HH),'Cenova nabidka ELEKTRO'!$G12*1/(1+F$33)*IF(NaPoVo=0,0,'Beh smlouvy'!E$8/NaPoVo)+'Cenova nabidka ELEKTRO'!$H12*1/(1+F$33),'Cenova nabidka ELEKTRO'!$G12+'Cenova nabidka ELEKTRO'!$H12))</f>
        <v>0</v>
      </c>
      <c r="G13" s="120">
        <f>'NABIDKA DOPRAVCE'!$L16*'Vypocty indexu'!G24*('Cenova nabidka ELEKTRO'!$F12+IF(OR(G$33&lt;SH,G$33&gt;HH),'Cenova nabidka ELEKTRO'!$G12*1/(1+G$33)*IF(NaPoVo=0,0,'Beh smlouvy'!F$8/NaPoVo)+'Cenova nabidka ELEKTRO'!$H12*1/(1+G$33),'Cenova nabidka ELEKTRO'!$G12+'Cenova nabidka ELEKTRO'!$H12))</f>
        <v>0</v>
      </c>
      <c r="H13" s="120">
        <f>'NABIDKA DOPRAVCE'!$L16*'Vypocty indexu'!H24*('Cenova nabidka ELEKTRO'!$F12+IF(OR(H$33&lt;SH,H$33&gt;HH),'Cenova nabidka ELEKTRO'!$G12*1/(1+H$33)*IF(NaPoVo=0,0,'Beh smlouvy'!G$8/NaPoVo)+'Cenova nabidka ELEKTRO'!$H12*1/(1+H$33),'Cenova nabidka ELEKTRO'!$G12+'Cenova nabidka ELEKTRO'!$H12))</f>
        <v>0</v>
      </c>
      <c r="I13" s="120">
        <f>'NABIDKA DOPRAVCE'!$L16*'Vypocty indexu'!I24*('Cenova nabidka ELEKTRO'!$F12+IF(OR(I$33&lt;SH,I$33&gt;HH),'Cenova nabidka ELEKTRO'!$G12*1/(1+I$33)*IF(NaPoVo=0,0,'Beh smlouvy'!H$8/NaPoVo)+'Cenova nabidka ELEKTRO'!$H12*1/(1+I$33),'Cenova nabidka ELEKTRO'!$G12+'Cenova nabidka ELEKTRO'!$H12))</f>
        <v>0</v>
      </c>
      <c r="J13" s="120">
        <f>'NABIDKA DOPRAVCE'!$L16*'Vypocty indexu'!J24*('Cenova nabidka ELEKTRO'!$F12+IF(OR(J$33&lt;SH,J$33&gt;HH),'Cenova nabidka ELEKTRO'!$G12*1/(1+J$33)*IF(NaPoVo=0,0,'Beh smlouvy'!I$8/NaPoVo)+'Cenova nabidka ELEKTRO'!$H12*1/(1+J$33),'Cenova nabidka ELEKTRO'!$G12+'Cenova nabidka ELEKTRO'!$H12))</f>
        <v>0</v>
      </c>
      <c r="K13" s="120">
        <f>'NABIDKA DOPRAVCE'!$L16*'Vypocty indexu'!K24*('Cenova nabidka ELEKTRO'!$F12+IF(OR(K$33&lt;SH,K$33&gt;HH),'Cenova nabidka ELEKTRO'!$G12*1/(1+K$33)*IF(NaPoVo=0,0,'Beh smlouvy'!J$8/NaPoVo)+'Cenova nabidka ELEKTRO'!$H12*1/(1+K$33),'Cenova nabidka ELEKTRO'!$G12+'Cenova nabidka ELEKTRO'!$H12))</f>
        <v>0</v>
      </c>
      <c r="L13" s="120">
        <f>'NABIDKA DOPRAVCE'!$L16*'Vypocty indexu'!L24*('Cenova nabidka ELEKTRO'!$F12+IF(OR(L$33&lt;SH,L$33&gt;HH),'Cenova nabidka ELEKTRO'!$G12*1/(1+L$33)*IF(NaPoVo=0,0,'Beh smlouvy'!K$8/NaPoVo)+'Cenova nabidka ELEKTRO'!$H12*1/(1+L$33),'Cenova nabidka ELEKTRO'!$G12+'Cenova nabidka ELEKTRO'!$H12))</f>
        <v>0</v>
      </c>
      <c r="M13" s="120">
        <f>'NABIDKA DOPRAVCE'!$L16*'Vypocty indexu'!M24*('Cenova nabidka ELEKTRO'!$F12+IF(OR(M$33&lt;SH,M$33&gt;HH),'Cenova nabidka ELEKTRO'!$G12*1/(1+M$33)*IF(NaPoVo=0,0,'Beh smlouvy'!L$8/NaPoVo)+'Cenova nabidka ELEKTRO'!$H12*1/(1+M$33),'Cenova nabidka ELEKTRO'!$G12+'Cenova nabidka ELEKTRO'!$H12))</f>
        <v>0</v>
      </c>
      <c r="N13" s="120">
        <f>'NABIDKA DOPRAVCE'!$L16*'Vypocty indexu'!N24*('Cenova nabidka ELEKTRO'!$F12+IF(OR(N$33&lt;SH,N$33&gt;HH),'Cenova nabidka ELEKTRO'!$G12*1/(1+N$33)*IF(NaPoVo=0,0,'Beh smlouvy'!M$8/NaPoVo)+'Cenova nabidka ELEKTRO'!$H12*1/(1+N$33),'Cenova nabidka ELEKTRO'!$G12+'Cenova nabidka ELEKTRO'!$H12))</f>
        <v>0</v>
      </c>
    </row>
    <row r="14" spans="2:14" ht="12.75" outlineLevel="1">
      <c r="B14" s="56" t="s">
        <v>28</v>
      </c>
      <c r="C14" s="47" t="s">
        <v>59</v>
      </c>
      <c r="D14" s="193"/>
      <c r="E14" s="120">
        <f>'NABIDKA DOPRAVCE'!$L17*'Vypocty indexu'!E25*('Cenova nabidka ELEKTRO'!$F13+IF(OR(E$33&lt;SH,E$33&gt;HH),'Cenova nabidka ELEKTRO'!$G13*1/(1+E$33)*IF(NaPoVo=0,0,'Beh smlouvy'!D$8/NaPoVo)+'Cenova nabidka ELEKTRO'!$H13*1/(1+E$33),'Cenova nabidka ELEKTRO'!$G13+'Cenova nabidka ELEKTRO'!$H13))</f>
        <v>0</v>
      </c>
      <c r="F14" s="120">
        <f>'NABIDKA DOPRAVCE'!$L17*'Vypocty indexu'!F25*('Cenova nabidka ELEKTRO'!$F13+IF(OR(F$33&lt;SH,F$33&gt;HH),'Cenova nabidka ELEKTRO'!$G13*1/(1+F$33)*IF(NaPoVo=0,0,'Beh smlouvy'!E$8/NaPoVo)+'Cenova nabidka ELEKTRO'!$H13*1/(1+F$33),'Cenova nabidka ELEKTRO'!$G13+'Cenova nabidka ELEKTRO'!$H13))</f>
        <v>0</v>
      </c>
      <c r="G14" s="120">
        <f>'NABIDKA DOPRAVCE'!$L17*'Vypocty indexu'!G25*('Cenova nabidka ELEKTRO'!$F13+IF(OR(G$33&lt;SH,G$33&gt;HH),'Cenova nabidka ELEKTRO'!$G13*1/(1+G$33)*IF(NaPoVo=0,0,'Beh smlouvy'!F$8/NaPoVo)+'Cenova nabidka ELEKTRO'!$H13*1/(1+G$33),'Cenova nabidka ELEKTRO'!$G13+'Cenova nabidka ELEKTRO'!$H13))</f>
        <v>0</v>
      </c>
      <c r="H14" s="120">
        <f>'NABIDKA DOPRAVCE'!$L17*'Vypocty indexu'!H25*('Cenova nabidka ELEKTRO'!$F13+IF(OR(H$33&lt;SH,H$33&gt;HH),'Cenova nabidka ELEKTRO'!$G13*1/(1+H$33)*IF(NaPoVo=0,0,'Beh smlouvy'!G$8/NaPoVo)+'Cenova nabidka ELEKTRO'!$H13*1/(1+H$33),'Cenova nabidka ELEKTRO'!$G13+'Cenova nabidka ELEKTRO'!$H13))</f>
        <v>0</v>
      </c>
      <c r="I14" s="120">
        <f>'NABIDKA DOPRAVCE'!$L17*'Vypocty indexu'!I25*('Cenova nabidka ELEKTRO'!$F13+IF(OR(I$33&lt;SH,I$33&gt;HH),'Cenova nabidka ELEKTRO'!$G13*1/(1+I$33)*IF(NaPoVo=0,0,'Beh smlouvy'!H$8/NaPoVo)+'Cenova nabidka ELEKTRO'!$H13*1/(1+I$33),'Cenova nabidka ELEKTRO'!$G13+'Cenova nabidka ELEKTRO'!$H13))</f>
        <v>0</v>
      </c>
      <c r="J14" s="120">
        <f>'NABIDKA DOPRAVCE'!$L17*'Vypocty indexu'!J25*('Cenova nabidka ELEKTRO'!$F13+IF(OR(J$33&lt;SH,J$33&gt;HH),'Cenova nabidka ELEKTRO'!$G13*1/(1+J$33)*IF(NaPoVo=0,0,'Beh smlouvy'!I$8/NaPoVo)+'Cenova nabidka ELEKTRO'!$H13*1/(1+J$33),'Cenova nabidka ELEKTRO'!$G13+'Cenova nabidka ELEKTRO'!$H13))</f>
        <v>0</v>
      </c>
      <c r="K14" s="120">
        <f>'NABIDKA DOPRAVCE'!$L17*'Vypocty indexu'!K25*('Cenova nabidka ELEKTRO'!$F13+IF(OR(K$33&lt;SH,K$33&gt;HH),'Cenova nabidka ELEKTRO'!$G13*1/(1+K$33)*IF(NaPoVo=0,0,'Beh smlouvy'!J$8/NaPoVo)+'Cenova nabidka ELEKTRO'!$H13*1/(1+K$33),'Cenova nabidka ELEKTRO'!$G13+'Cenova nabidka ELEKTRO'!$H13))</f>
        <v>0</v>
      </c>
      <c r="L14" s="120">
        <f>'NABIDKA DOPRAVCE'!$L17*'Vypocty indexu'!L25*('Cenova nabidka ELEKTRO'!$F13+IF(OR(L$33&lt;SH,L$33&gt;HH),'Cenova nabidka ELEKTRO'!$G13*1/(1+L$33)*IF(NaPoVo=0,0,'Beh smlouvy'!K$8/NaPoVo)+'Cenova nabidka ELEKTRO'!$H13*1/(1+L$33),'Cenova nabidka ELEKTRO'!$G13+'Cenova nabidka ELEKTRO'!$H13))</f>
        <v>0</v>
      </c>
      <c r="M14" s="120">
        <f>'NABIDKA DOPRAVCE'!$L17*'Vypocty indexu'!M25*('Cenova nabidka ELEKTRO'!$F13+IF(OR(M$33&lt;SH,M$33&gt;HH),'Cenova nabidka ELEKTRO'!$G13*1/(1+M$33)*IF(NaPoVo=0,0,'Beh smlouvy'!L$8/NaPoVo)+'Cenova nabidka ELEKTRO'!$H13*1/(1+M$33),'Cenova nabidka ELEKTRO'!$G13+'Cenova nabidka ELEKTRO'!$H13))</f>
        <v>0</v>
      </c>
      <c r="N14" s="120">
        <f>'NABIDKA DOPRAVCE'!$L17*'Vypocty indexu'!N25*('Cenova nabidka ELEKTRO'!$F13+IF(OR(N$33&lt;SH,N$33&gt;HH),'Cenova nabidka ELEKTRO'!$G13*1/(1+N$33)*IF(NaPoVo=0,0,'Beh smlouvy'!M$8/NaPoVo)+'Cenova nabidka ELEKTRO'!$H13*1/(1+N$33),'Cenova nabidka ELEKTRO'!$G13+'Cenova nabidka ELEKTRO'!$H13))</f>
        <v>0</v>
      </c>
    </row>
    <row r="15" spans="2:14" ht="12.75" outlineLevel="1">
      <c r="B15" s="56" t="s">
        <v>29</v>
      </c>
      <c r="C15" s="47" t="s">
        <v>60</v>
      </c>
      <c r="D15" s="193"/>
      <c r="E15" s="120">
        <f>'NABIDKA DOPRAVCE'!$L18*'Vypocty indexu'!E26*('Cenova nabidka ELEKTRO'!$F14+IF(OR(E$33&lt;SH,E$33&gt;HH),'Cenova nabidka ELEKTRO'!$G14*1/(1+E$33)*IF(NaPoVo=0,0,'Beh smlouvy'!D$8/NaPoVo)+'Cenova nabidka ELEKTRO'!$H14*1/(1+E$33),'Cenova nabidka ELEKTRO'!$G14+'Cenova nabidka ELEKTRO'!$H14))</f>
        <v>0</v>
      </c>
      <c r="F15" s="120">
        <f>'NABIDKA DOPRAVCE'!$L18*'Vypocty indexu'!F26*('Cenova nabidka ELEKTRO'!$F14+IF(OR(F$33&lt;SH,F$33&gt;HH),'Cenova nabidka ELEKTRO'!$G14*1/(1+F$33)*IF(NaPoVo=0,0,'Beh smlouvy'!E$8/NaPoVo)+'Cenova nabidka ELEKTRO'!$H14*1/(1+F$33),'Cenova nabidka ELEKTRO'!$G14+'Cenova nabidka ELEKTRO'!$H14))</f>
        <v>0</v>
      </c>
      <c r="G15" s="120">
        <f>'NABIDKA DOPRAVCE'!$L18*'Vypocty indexu'!G26*('Cenova nabidka ELEKTRO'!$F14+IF(OR(G$33&lt;SH,G$33&gt;HH),'Cenova nabidka ELEKTRO'!$G14*1/(1+G$33)*IF(NaPoVo=0,0,'Beh smlouvy'!F$8/NaPoVo)+'Cenova nabidka ELEKTRO'!$H14*1/(1+G$33),'Cenova nabidka ELEKTRO'!$G14+'Cenova nabidka ELEKTRO'!$H14))</f>
        <v>0</v>
      </c>
      <c r="H15" s="120">
        <f>'NABIDKA DOPRAVCE'!$L18*'Vypocty indexu'!H26*('Cenova nabidka ELEKTRO'!$F14+IF(OR(H$33&lt;SH,H$33&gt;HH),'Cenova nabidka ELEKTRO'!$G14*1/(1+H$33)*IF(NaPoVo=0,0,'Beh smlouvy'!G$8/NaPoVo)+'Cenova nabidka ELEKTRO'!$H14*1/(1+H$33),'Cenova nabidka ELEKTRO'!$G14+'Cenova nabidka ELEKTRO'!$H14))</f>
        <v>0</v>
      </c>
      <c r="I15" s="120">
        <f>'NABIDKA DOPRAVCE'!$L18*'Vypocty indexu'!I26*('Cenova nabidka ELEKTRO'!$F14+IF(OR(I$33&lt;SH,I$33&gt;HH),'Cenova nabidka ELEKTRO'!$G14*1/(1+I$33)*IF(NaPoVo=0,0,'Beh smlouvy'!H$8/NaPoVo)+'Cenova nabidka ELEKTRO'!$H14*1/(1+I$33),'Cenova nabidka ELEKTRO'!$G14+'Cenova nabidka ELEKTRO'!$H14))</f>
        <v>0</v>
      </c>
      <c r="J15" s="120">
        <f>'NABIDKA DOPRAVCE'!$L18*'Vypocty indexu'!J26*('Cenova nabidka ELEKTRO'!$F14+IF(OR(J$33&lt;SH,J$33&gt;HH),'Cenova nabidka ELEKTRO'!$G14*1/(1+J$33)*IF(NaPoVo=0,0,'Beh smlouvy'!I$8/NaPoVo)+'Cenova nabidka ELEKTRO'!$H14*1/(1+J$33),'Cenova nabidka ELEKTRO'!$G14+'Cenova nabidka ELEKTRO'!$H14))</f>
        <v>0</v>
      </c>
      <c r="K15" s="120">
        <f>'NABIDKA DOPRAVCE'!$L18*'Vypocty indexu'!K26*('Cenova nabidka ELEKTRO'!$F14+IF(OR(K$33&lt;SH,K$33&gt;HH),'Cenova nabidka ELEKTRO'!$G14*1/(1+K$33)*IF(NaPoVo=0,0,'Beh smlouvy'!J$8/NaPoVo)+'Cenova nabidka ELEKTRO'!$H14*1/(1+K$33),'Cenova nabidka ELEKTRO'!$G14+'Cenova nabidka ELEKTRO'!$H14))</f>
        <v>0</v>
      </c>
      <c r="L15" s="120">
        <f>'NABIDKA DOPRAVCE'!$L18*'Vypocty indexu'!L26*('Cenova nabidka ELEKTRO'!$F14+IF(OR(L$33&lt;SH,L$33&gt;HH),'Cenova nabidka ELEKTRO'!$G14*1/(1+L$33)*IF(NaPoVo=0,0,'Beh smlouvy'!K$8/NaPoVo)+'Cenova nabidka ELEKTRO'!$H14*1/(1+L$33),'Cenova nabidka ELEKTRO'!$G14+'Cenova nabidka ELEKTRO'!$H14))</f>
        <v>0</v>
      </c>
      <c r="M15" s="120">
        <f>'NABIDKA DOPRAVCE'!$L18*'Vypocty indexu'!M26*('Cenova nabidka ELEKTRO'!$F14+IF(OR(M$33&lt;SH,M$33&gt;HH),'Cenova nabidka ELEKTRO'!$G14*1/(1+M$33)*IF(NaPoVo=0,0,'Beh smlouvy'!L$8/NaPoVo)+'Cenova nabidka ELEKTRO'!$H14*1/(1+M$33),'Cenova nabidka ELEKTRO'!$G14+'Cenova nabidka ELEKTRO'!$H14))</f>
        <v>0</v>
      </c>
      <c r="N15" s="120">
        <f>'NABIDKA DOPRAVCE'!$L18*'Vypocty indexu'!N26*('Cenova nabidka ELEKTRO'!$F14+IF(OR(N$33&lt;SH,N$33&gt;HH),'Cenova nabidka ELEKTRO'!$G14*1/(1+N$33)*IF(NaPoVo=0,0,'Beh smlouvy'!M$8/NaPoVo)+'Cenova nabidka ELEKTRO'!$H14*1/(1+N$33),'Cenova nabidka ELEKTRO'!$G14+'Cenova nabidka ELEKTRO'!$H14))</f>
        <v>0</v>
      </c>
    </row>
    <row r="16" spans="2:14" ht="12.75" outlineLevel="1">
      <c r="B16" s="56">
        <v>15</v>
      </c>
      <c r="C16" s="47" t="s">
        <v>42</v>
      </c>
      <c r="D16" s="193"/>
      <c r="E16" s="120">
        <f>'NABIDKA DOPRAVCE'!$L19*'Vypocty indexu'!E27*('Cenova nabidka ELEKTRO'!$F15+IF(OR(E$33&lt;SH,E$33&gt;HH),'Cenova nabidka ELEKTRO'!$G15*1/(1+E$33)*IF(NaPoVo=0,0,'Beh smlouvy'!D$8/NaPoVo)+'Cenova nabidka ELEKTRO'!$H15*1/(1+E$33),'Cenova nabidka ELEKTRO'!$G15+'Cenova nabidka ELEKTRO'!$H15))</f>
        <v>0</v>
      </c>
      <c r="F16" s="120">
        <f>'NABIDKA DOPRAVCE'!$L19*'Vypocty indexu'!F27*('Cenova nabidka ELEKTRO'!$F15+IF(OR(F$33&lt;SH,F$33&gt;HH),'Cenova nabidka ELEKTRO'!$G15*1/(1+F$33)*IF(NaPoVo=0,0,'Beh smlouvy'!E$8/NaPoVo)+'Cenova nabidka ELEKTRO'!$H15*1/(1+F$33),'Cenova nabidka ELEKTRO'!$G15+'Cenova nabidka ELEKTRO'!$H15))</f>
        <v>0</v>
      </c>
      <c r="G16" s="120">
        <f>'NABIDKA DOPRAVCE'!$L19*'Vypocty indexu'!G27*('Cenova nabidka ELEKTRO'!$F15+IF(OR(G$33&lt;SH,G$33&gt;HH),'Cenova nabidka ELEKTRO'!$G15*1/(1+G$33)*IF(NaPoVo=0,0,'Beh smlouvy'!F$8/NaPoVo)+'Cenova nabidka ELEKTRO'!$H15*1/(1+G$33),'Cenova nabidka ELEKTRO'!$G15+'Cenova nabidka ELEKTRO'!$H15))</f>
        <v>0</v>
      </c>
      <c r="H16" s="120">
        <f>'NABIDKA DOPRAVCE'!$L19*'Vypocty indexu'!H27*('Cenova nabidka ELEKTRO'!$F15+IF(OR(H$33&lt;SH,H$33&gt;HH),'Cenova nabidka ELEKTRO'!$G15*1/(1+H$33)*IF(NaPoVo=0,0,'Beh smlouvy'!G$8/NaPoVo)+'Cenova nabidka ELEKTRO'!$H15*1/(1+H$33),'Cenova nabidka ELEKTRO'!$G15+'Cenova nabidka ELEKTRO'!$H15))</f>
        <v>0</v>
      </c>
      <c r="I16" s="120">
        <f>'NABIDKA DOPRAVCE'!$L19*'Vypocty indexu'!I27*('Cenova nabidka ELEKTRO'!$F15+IF(OR(I$33&lt;SH,I$33&gt;HH),'Cenova nabidka ELEKTRO'!$G15*1/(1+I$33)*IF(NaPoVo=0,0,'Beh smlouvy'!H$8/NaPoVo)+'Cenova nabidka ELEKTRO'!$H15*1/(1+I$33),'Cenova nabidka ELEKTRO'!$G15+'Cenova nabidka ELEKTRO'!$H15))</f>
        <v>0</v>
      </c>
      <c r="J16" s="120">
        <f>'NABIDKA DOPRAVCE'!$L19*'Vypocty indexu'!J27*('Cenova nabidka ELEKTRO'!$F15+IF(OR(J$33&lt;SH,J$33&gt;HH),'Cenova nabidka ELEKTRO'!$G15*1/(1+J$33)*IF(NaPoVo=0,0,'Beh smlouvy'!I$8/NaPoVo)+'Cenova nabidka ELEKTRO'!$H15*1/(1+J$33),'Cenova nabidka ELEKTRO'!$G15+'Cenova nabidka ELEKTRO'!$H15))</f>
        <v>0</v>
      </c>
      <c r="K16" s="120">
        <f>'NABIDKA DOPRAVCE'!$L19*'Vypocty indexu'!K27*('Cenova nabidka ELEKTRO'!$F15+IF(OR(K$33&lt;SH,K$33&gt;HH),'Cenova nabidka ELEKTRO'!$G15*1/(1+K$33)*IF(NaPoVo=0,0,'Beh smlouvy'!J$8/NaPoVo)+'Cenova nabidka ELEKTRO'!$H15*1/(1+K$33),'Cenova nabidka ELEKTRO'!$G15+'Cenova nabidka ELEKTRO'!$H15))</f>
        <v>0</v>
      </c>
      <c r="L16" s="120">
        <f>'NABIDKA DOPRAVCE'!$L19*'Vypocty indexu'!L27*('Cenova nabidka ELEKTRO'!$F15+IF(OR(L$33&lt;SH,L$33&gt;HH),'Cenova nabidka ELEKTRO'!$G15*1/(1+L$33)*IF(NaPoVo=0,0,'Beh smlouvy'!K$8/NaPoVo)+'Cenova nabidka ELEKTRO'!$H15*1/(1+L$33),'Cenova nabidka ELEKTRO'!$G15+'Cenova nabidka ELEKTRO'!$H15))</f>
        <v>0</v>
      </c>
      <c r="M16" s="120">
        <f>'NABIDKA DOPRAVCE'!$L19*'Vypocty indexu'!M27*('Cenova nabidka ELEKTRO'!$F15+IF(OR(M$33&lt;SH,M$33&gt;HH),'Cenova nabidka ELEKTRO'!$G15*1/(1+M$33)*IF(NaPoVo=0,0,'Beh smlouvy'!L$8/NaPoVo)+'Cenova nabidka ELEKTRO'!$H15*1/(1+M$33),'Cenova nabidka ELEKTRO'!$G15+'Cenova nabidka ELEKTRO'!$H15))</f>
        <v>0</v>
      </c>
      <c r="N16" s="120">
        <f>'NABIDKA DOPRAVCE'!$L19*'Vypocty indexu'!N27*('Cenova nabidka ELEKTRO'!$F15+IF(OR(N$33&lt;SH,N$33&gt;HH),'Cenova nabidka ELEKTRO'!$G15*1/(1+N$33)*IF(NaPoVo=0,0,'Beh smlouvy'!M$8/NaPoVo)+'Cenova nabidka ELEKTRO'!$H15*1/(1+N$33),'Cenova nabidka ELEKTRO'!$G15+'Cenova nabidka ELEKTRO'!$H15))</f>
        <v>0</v>
      </c>
    </row>
    <row r="17" spans="2:14" ht="12.75" outlineLevel="1">
      <c r="B17" s="56" t="s">
        <v>30</v>
      </c>
      <c r="C17" s="47" t="s">
        <v>61</v>
      </c>
      <c r="D17" s="193"/>
      <c r="E17" s="120">
        <f>'NABIDKA DOPRAVCE'!$L20*'Vypocty indexu'!E28*('Cenova nabidka ELEKTRO'!$F16+IF(OR(E$33&lt;SH,E$33&gt;HH),'Cenova nabidka ELEKTRO'!$G16*1/(1+E$33)*IF(NaPoVo=0,0,'Beh smlouvy'!D$8/NaPoVo)+'Cenova nabidka ELEKTRO'!$H16*1/(1+E$33),'Cenova nabidka ELEKTRO'!$G16+'Cenova nabidka ELEKTRO'!$H16))</f>
        <v>0</v>
      </c>
      <c r="F17" s="120">
        <f>'NABIDKA DOPRAVCE'!$L20*'Vypocty indexu'!F28*('Cenova nabidka ELEKTRO'!$F16+IF(OR(F$33&lt;SH,F$33&gt;HH),'Cenova nabidka ELEKTRO'!$G16*1/(1+F$33)*IF(NaPoVo=0,0,'Beh smlouvy'!E$8/NaPoVo)+'Cenova nabidka ELEKTRO'!$H16*1/(1+F$33),'Cenova nabidka ELEKTRO'!$G16+'Cenova nabidka ELEKTRO'!$H16))</f>
        <v>0</v>
      </c>
      <c r="G17" s="120">
        <f>'NABIDKA DOPRAVCE'!$L20*'Vypocty indexu'!G28*('Cenova nabidka ELEKTRO'!$F16+IF(OR(G$33&lt;SH,G$33&gt;HH),'Cenova nabidka ELEKTRO'!$G16*1/(1+G$33)*IF(NaPoVo=0,0,'Beh smlouvy'!F$8/NaPoVo)+'Cenova nabidka ELEKTRO'!$H16*1/(1+G$33),'Cenova nabidka ELEKTRO'!$G16+'Cenova nabidka ELEKTRO'!$H16))</f>
        <v>0</v>
      </c>
      <c r="H17" s="120">
        <f>'NABIDKA DOPRAVCE'!$L20*'Vypocty indexu'!H28*('Cenova nabidka ELEKTRO'!$F16+IF(OR(H$33&lt;SH,H$33&gt;HH),'Cenova nabidka ELEKTRO'!$G16*1/(1+H$33)*IF(NaPoVo=0,0,'Beh smlouvy'!G$8/NaPoVo)+'Cenova nabidka ELEKTRO'!$H16*1/(1+H$33),'Cenova nabidka ELEKTRO'!$G16+'Cenova nabidka ELEKTRO'!$H16))</f>
        <v>0</v>
      </c>
      <c r="I17" s="120">
        <f>'NABIDKA DOPRAVCE'!$L20*'Vypocty indexu'!I28*('Cenova nabidka ELEKTRO'!$F16+IF(OR(I$33&lt;SH,I$33&gt;HH),'Cenova nabidka ELEKTRO'!$G16*1/(1+I$33)*IF(NaPoVo=0,0,'Beh smlouvy'!H$8/NaPoVo)+'Cenova nabidka ELEKTRO'!$H16*1/(1+I$33),'Cenova nabidka ELEKTRO'!$G16+'Cenova nabidka ELEKTRO'!$H16))</f>
        <v>0</v>
      </c>
      <c r="J17" s="120">
        <f>'NABIDKA DOPRAVCE'!$L20*'Vypocty indexu'!J28*('Cenova nabidka ELEKTRO'!$F16+IF(OR(J$33&lt;SH,J$33&gt;HH),'Cenova nabidka ELEKTRO'!$G16*1/(1+J$33)*IF(NaPoVo=0,0,'Beh smlouvy'!I$8/NaPoVo)+'Cenova nabidka ELEKTRO'!$H16*1/(1+J$33),'Cenova nabidka ELEKTRO'!$G16+'Cenova nabidka ELEKTRO'!$H16))</f>
        <v>0</v>
      </c>
      <c r="K17" s="120">
        <f>'NABIDKA DOPRAVCE'!$L20*'Vypocty indexu'!K28*('Cenova nabidka ELEKTRO'!$F16+IF(OR(K$33&lt;SH,K$33&gt;HH),'Cenova nabidka ELEKTRO'!$G16*1/(1+K$33)*IF(NaPoVo=0,0,'Beh smlouvy'!J$8/NaPoVo)+'Cenova nabidka ELEKTRO'!$H16*1/(1+K$33),'Cenova nabidka ELEKTRO'!$G16+'Cenova nabidka ELEKTRO'!$H16))</f>
        <v>0</v>
      </c>
      <c r="L17" s="120">
        <f>'NABIDKA DOPRAVCE'!$L20*'Vypocty indexu'!L28*('Cenova nabidka ELEKTRO'!$F16+IF(OR(L$33&lt;SH,L$33&gt;HH),'Cenova nabidka ELEKTRO'!$G16*1/(1+L$33)*IF(NaPoVo=0,0,'Beh smlouvy'!K$8/NaPoVo)+'Cenova nabidka ELEKTRO'!$H16*1/(1+L$33),'Cenova nabidka ELEKTRO'!$G16+'Cenova nabidka ELEKTRO'!$H16))</f>
        <v>0</v>
      </c>
      <c r="M17" s="120">
        <f>'NABIDKA DOPRAVCE'!$L20*'Vypocty indexu'!M28*('Cenova nabidka ELEKTRO'!$F16+IF(OR(M$33&lt;SH,M$33&gt;HH),'Cenova nabidka ELEKTRO'!$G16*1/(1+M$33)*IF(NaPoVo=0,0,'Beh smlouvy'!L$8/NaPoVo)+'Cenova nabidka ELEKTRO'!$H16*1/(1+M$33),'Cenova nabidka ELEKTRO'!$G16+'Cenova nabidka ELEKTRO'!$H16))</f>
        <v>0</v>
      </c>
      <c r="N17" s="120">
        <f>'NABIDKA DOPRAVCE'!$L20*'Vypocty indexu'!N28*('Cenova nabidka ELEKTRO'!$F16+IF(OR(N$33&lt;SH,N$33&gt;HH),'Cenova nabidka ELEKTRO'!$G16*1/(1+N$33)*IF(NaPoVo=0,0,'Beh smlouvy'!M$8/NaPoVo)+'Cenova nabidka ELEKTRO'!$H16*1/(1+N$33),'Cenova nabidka ELEKTRO'!$G16+'Cenova nabidka ELEKTRO'!$H16))</f>
        <v>0</v>
      </c>
    </row>
    <row r="18" spans="2:14" ht="12.75" outlineLevel="1">
      <c r="B18" s="56" t="s">
        <v>31</v>
      </c>
      <c r="C18" s="47" t="s">
        <v>62</v>
      </c>
      <c r="D18" s="193"/>
      <c r="E18" s="120">
        <f>'NABIDKA DOPRAVCE'!$L21*'Vypocty indexu'!E29*('Cenova nabidka ELEKTRO'!$F17+IF(OR(E$33&lt;SH,E$33&gt;HH),'Cenova nabidka ELEKTRO'!$G17*1/(1+E$33)*IF(NaPoVo=0,0,'Beh smlouvy'!D$8/NaPoVo)+'Cenova nabidka ELEKTRO'!$H17*1/(1+E$33),'Cenova nabidka ELEKTRO'!$G17+'Cenova nabidka ELEKTRO'!$H17))</f>
        <v>0</v>
      </c>
      <c r="F18" s="120">
        <f>'NABIDKA DOPRAVCE'!$L21*'Vypocty indexu'!F29*('Cenova nabidka ELEKTRO'!$F17+IF(OR(F$33&lt;SH,F$33&gt;HH),'Cenova nabidka ELEKTRO'!$G17*1/(1+F$33)*IF(NaPoVo=0,0,'Beh smlouvy'!E$8/NaPoVo)+'Cenova nabidka ELEKTRO'!$H17*1/(1+F$33),'Cenova nabidka ELEKTRO'!$G17+'Cenova nabidka ELEKTRO'!$H17))</f>
        <v>0</v>
      </c>
      <c r="G18" s="120">
        <f>'NABIDKA DOPRAVCE'!$L21*'Vypocty indexu'!G29*('Cenova nabidka ELEKTRO'!$F17+IF(OR(G$33&lt;SH,G$33&gt;HH),'Cenova nabidka ELEKTRO'!$G17*1/(1+G$33)*IF(NaPoVo=0,0,'Beh smlouvy'!F$8/NaPoVo)+'Cenova nabidka ELEKTRO'!$H17*1/(1+G$33),'Cenova nabidka ELEKTRO'!$G17+'Cenova nabidka ELEKTRO'!$H17))</f>
        <v>0</v>
      </c>
      <c r="H18" s="120">
        <f>'NABIDKA DOPRAVCE'!$L21*'Vypocty indexu'!H29*('Cenova nabidka ELEKTRO'!$F17+IF(OR(H$33&lt;SH,H$33&gt;HH),'Cenova nabidka ELEKTRO'!$G17*1/(1+H$33)*IF(NaPoVo=0,0,'Beh smlouvy'!G$8/NaPoVo)+'Cenova nabidka ELEKTRO'!$H17*1/(1+H$33),'Cenova nabidka ELEKTRO'!$G17+'Cenova nabidka ELEKTRO'!$H17))</f>
        <v>0</v>
      </c>
      <c r="I18" s="120">
        <f>'NABIDKA DOPRAVCE'!$L21*'Vypocty indexu'!I29*('Cenova nabidka ELEKTRO'!$F17+IF(OR(I$33&lt;SH,I$33&gt;HH),'Cenova nabidka ELEKTRO'!$G17*1/(1+I$33)*IF(NaPoVo=0,0,'Beh smlouvy'!H$8/NaPoVo)+'Cenova nabidka ELEKTRO'!$H17*1/(1+I$33),'Cenova nabidka ELEKTRO'!$G17+'Cenova nabidka ELEKTRO'!$H17))</f>
        <v>0</v>
      </c>
      <c r="J18" s="120">
        <f>'NABIDKA DOPRAVCE'!$L21*'Vypocty indexu'!J29*('Cenova nabidka ELEKTRO'!$F17+IF(OR(J$33&lt;SH,J$33&gt;HH),'Cenova nabidka ELEKTRO'!$G17*1/(1+J$33)*IF(NaPoVo=0,0,'Beh smlouvy'!I$8/NaPoVo)+'Cenova nabidka ELEKTRO'!$H17*1/(1+J$33),'Cenova nabidka ELEKTRO'!$G17+'Cenova nabidka ELEKTRO'!$H17))</f>
        <v>0</v>
      </c>
      <c r="K18" s="120">
        <f>'NABIDKA DOPRAVCE'!$L21*'Vypocty indexu'!K29*('Cenova nabidka ELEKTRO'!$F17+IF(OR(K$33&lt;SH,K$33&gt;HH),'Cenova nabidka ELEKTRO'!$G17*1/(1+K$33)*IF(NaPoVo=0,0,'Beh smlouvy'!J$8/NaPoVo)+'Cenova nabidka ELEKTRO'!$H17*1/(1+K$33),'Cenova nabidka ELEKTRO'!$G17+'Cenova nabidka ELEKTRO'!$H17))</f>
        <v>0</v>
      </c>
      <c r="L18" s="120">
        <f>'NABIDKA DOPRAVCE'!$L21*'Vypocty indexu'!L29*('Cenova nabidka ELEKTRO'!$F17+IF(OR(L$33&lt;SH,L$33&gt;HH),'Cenova nabidka ELEKTRO'!$G17*1/(1+L$33)*IF(NaPoVo=0,0,'Beh smlouvy'!K$8/NaPoVo)+'Cenova nabidka ELEKTRO'!$H17*1/(1+L$33),'Cenova nabidka ELEKTRO'!$G17+'Cenova nabidka ELEKTRO'!$H17))</f>
        <v>0</v>
      </c>
      <c r="M18" s="120">
        <f>'NABIDKA DOPRAVCE'!$L21*'Vypocty indexu'!M29*('Cenova nabidka ELEKTRO'!$F17+IF(OR(M$33&lt;SH,M$33&gt;HH),'Cenova nabidka ELEKTRO'!$G17*1/(1+M$33)*IF(NaPoVo=0,0,'Beh smlouvy'!L$8/NaPoVo)+'Cenova nabidka ELEKTRO'!$H17*1/(1+M$33),'Cenova nabidka ELEKTRO'!$G17+'Cenova nabidka ELEKTRO'!$H17))</f>
        <v>0</v>
      </c>
      <c r="N18" s="120">
        <f>'NABIDKA DOPRAVCE'!$L21*'Vypocty indexu'!N29*('Cenova nabidka ELEKTRO'!$F17+IF(OR(N$33&lt;SH,N$33&gt;HH),'Cenova nabidka ELEKTRO'!$G17*1/(1+N$33)*IF(NaPoVo=0,0,'Beh smlouvy'!M$8/NaPoVo)+'Cenova nabidka ELEKTRO'!$H17*1/(1+N$33),'Cenova nabidka ELEKTRO'!$G17+'Cenova nabidka ELEKTRO'!$H17))</f>
        <v>0</v>
      </c>
    </row>
    <row r="19" spans="2:14" ht="12.75" outlineLevel="1">
      <c r="B19" s="56" t="s">
        <v>40</v>
      </c>
      <c r="C19" s="47" t="s">
        <v>63</v>
      </c>
      <c r="D19" s="193"/>
      <c r="E19" s="120">
        <f>'NABIDKA DOPRAVCE'!$L22*'Vypocty indexu'!E30*('Cenova nabidka ELEKTRO'!$F18+IF(OR(E$33&lt;SH,E$33&gt;HH),'Cenova nabidka ELEKTRO'!$G18*1/(1+E$33)*IF(NaPoVo=0,0,'Beh smlouvy'!D$8/NaPoVo)+'Cenova nabidka ELEKTRO'!$H18*1/(1+E$33),'Cenova nabidka ELEKTRO'!$G18+'Cenova nabidka ELEKTRO'!$H18))</f>
        <v>0</v>
      </c>
      <c r="F19" s="120">
        <f>'NABIDKA DOPRAVCE'!$L22*'Vypocty indexu'!F30*('Cenova nabidka ELEKTRO'!$F18+IF(OR(F$33&lt;SH,F$33&gt;HH),'Cenova nabidka ELEKTRO'!$G18*1/(1+F$33)*IF(NaPoVo=0,0,'Beh smlouvy'!E$8/NaPoVo)+'Cenova nabidka ELEKTRO'!$H18*1/(1+F$33),'Cenova nabidka ELEKTRO'!$G18+'Cenova nabidka ELEKTRO'!$H18))</f>
        <v>0</v>
      </c>
      <c r="G19" s="120">
        <f>'NABIDKA DOPRAVCE'!$L22*'Vypocty indexu'!G30*('Cenova nabidka ELEKTRO'!$F18+IF(OR(G$33&lt;SH,G$33&gt;HH),'Cenova nabidka ELEKTRO'!$G18*1/(1+G$33)*IF(NaPoVo=0,0,'Beh smlouvy'!F$8/NaPoVo)+'Cenova nabidka ELEKTRO'!$H18*1/(1+G$33),'Cenova nabidka ELEKTRO'!$G18+'Cenova nabidka ELEKTRO'!$H18))</f>
        <v>0</v>
      </c>
      <c r="H19" s="120">
        <f>'NABIDKA DOPRAVCE'!$L22*'Vypocty indexu'!H30*('Cenova nabidka ELEKTRO'!$F18+IF(OR(H$33&lt;SH,H$33&gt;HH),'Cenova nabidka ELEKTRO'!$G18*1/(1+H$33)*IF(NaPoVo=0,0,'Beh smlouvy'!G$8/NaPoVo)+'Cenova nabidka ELEKTRO'!$H18*1/(1+H$33),'Cenova nabidka ELEKTRO'!$G18+'Cenova nabidka ELEKTRO'!$H18))</f>
        <v>0</v>
      </c>
      <c r="I19" s="120">
        <f>'NABIDKA DOPRAVCE'!$L22*'Vypocty indexu'!I30*('Cenova nabidka ELEKTRO'!$F18+IF(OR(I$33&lt;SH,I$33&gt;HH),'Cenova nabidka ELEKTRO'!$G18*1/(1+I$33)*IF(NaPoVo=0,0,'Beh smlouvy'!H$8/NaPoVo)+'Cenova nabidka ELEKTRO'!$H18*1/(1+I$33),'Cenova nabidka ELEKTRO'!$G18+'Cenova nabidka ELEKTRO'!$H18))</f>
        <v>0</v>
      </c>
      <c r="J19" s="120">
        <f>'NABIDKA DOPRAVCE'!$L22*'Vypocty indexu'!J30*('Cenova nabidka ELEKTRO'!$F18+IF(OR(J$33&lt;SH,J$33&gt;HH),'Cenova nabidka ELEKTRO'!$G18*1/(1+J$33)*IF(NaPoVo=0,0,'Beh smlouvy'!I$8/NaPoVo)+'Cenova nabidka ELEKTRO'!$H18*1/(1+J$33),'Cenova nabidka ELEKTRO'!$G18+'Cenova nabidka ELEKTRO'!$H18))</f>
        <v>0</v>
      </c>
      <c r="K19" s="120">
        <f>'NABIDKA DOPRAVCE'!$L22*'Vypocty indexu'!K30*('Cenova nabidka ELEKTRO'!$F18+IF(OR(K$33&lt;SH,K$33&gt;HH),'Cenova nabidka ELEKTRO'!$G18*1/(1+K$33)*IF(NaPoVo=0,0,'Beh smlouvy'!J$8/NaPoVo)+'Cenova nabidka ELEKTRO'!$H18*1/(1+K$33),'Cenova nabidka ELEKTRO'!$G18+'Cenova nabidka ELEKTRO'!$H18))</f>
        <v>0</v>
      </c>
      <c r="L19" s="120">
        <f>'NABIDKA DOPRAVCE'!$L22*'Vypocty indexu'!L30*('Cenova nabidka ELEKTRO'!$F18+IF(OR(L$33&lt;SH,L$33&gt;HH),'Cenova nabidka ELEKTRO'!$G18*1/(1+L$33)*IF(NaPoVo=0,0,'Beh smlouvy'!K$8/NaPoVo)+'Cenova nabidka ELEKTRO'!$H18*1/(1+L$33),'Cenova nabidka ELEKTRO'!$G18+'Cenova nabidka ELEKTRO'!$H18))</f>
        <v>0</v>
      </c>
      <c r="M19" s="120">
        <f>'NABIDKA DOPRAVCE'!$L22*'Vypocty indexu'!M30*('Cenova nabidka ELEKTRO'!$F18+IF(OR(M$33&lt;SH,M$33&gt;HH),'Cenova nabidka ELEKTRO'!$G18*1/(1+M$33)*IF(NaPoVo=0,0,'Beh smlouvy'!L$8/NaPoVo)+'Cenova nabidka ELEKTRO'!$H18*1/(1+M$33),'Cenova nabidka ELEKTRO'!$G18+'Cenova nabidka ELEKTRO'!$H18))</f>
        <v>0</v>
      </c>
      <c r="N19" s="120">
        <f>'NABIDKA DOPRAVCE'!$L22*'Vypocty indexu'!N30*('Cenova nabidka ELEKTRO'!$F18+IF(OR(N$33&lt;SH,N$33&gt;HH),'Cenova nabidka ELEKTRO'!$G18*1/(1+N$33)*IF(NaPoVo=0,0,'Beh smlouvy'!M$8/NaPoVo)+'Cenova nabidka ELEKTRO'!$H18*1/(1+N$33),'Cenova nabidka ELEKTRO'!$G18+'Cenova nabidka ELEKTRO'!$H18))</f>
        <v>0</v>
      </c>
    </row>
    <row r="20" spans="2:14" ht="12.75" outlineLevel="1">
      <c r="B20" s="56" t="s">
        <v>41</v>
      </c>
      <c r="C20" s="47" t="s">
        <v>64</v>
      </c>
      <c r="D20" s="193"/>
      <c r="E20" s="120">
        <f>'NABIDKA DOPRAVCE'!$L23*'Vypocty indexu'!E31*('Cenova nabidka ELEKTRO'!$F19+IF(OR(E$33&lt;SH,E$33&gt;HH),'Cenova nabidka ELEKTRO'!$G19*1/(1+E$33)*IF(NaPoVo=0,0,'Beh smlouvy'!D$8/NaPoVo)+'Cenova nabidka ELEKTRO'!$H19*1/(1+E$33),'Cenova nabidka ELEKTRO'!$G19+'Cenova nabidka ELEKTRO'!$H19))</f>
        <v>0</v>
      </c>
      <c r="F20" s="120">
        <f>'NABIDKA DOPRAVCE'!$L23*'Vypocty indexu'!F31*('Cenova nabidka ELEKTRO'!$F19+IF(OR(F$33&lt;SH,F$33&gt;HH),'Cenova nabidka ELEKTRO'!$G19*1/(1+F$33)*IF(NaPoVo=0,0,'Beh smlouvy'!E$8/NaPoVo)+'Cenova nabidka ELEKTRO'!$H19*1/(1+F$33),'Cenova nabidka ELEKTRO'!$G19+'Cenova nabidka ELEKTRO'!$H19))</f>
        <v>0</v>
      </c>
      <c r="G20" s="120">
        <f>'NABIDKA DOPRAVCE'!$L23*'Vypocty indexu'!G31*('Cenova nabidka ELEKTRO'!$F19+IF(OR(G$33&lt;SH,G$33&gt;HH),'Cenova nabidka ELEKTRO'!$G19*1/(1+G$33)*IF(NaPoVo=0,0,'Beh smlouvy'!F$8/NaPoVo)+'Cenova nabidka ELEKTRO'!$H19*1/(1+G$33),'Cenova nabidka ELEKTRO'!$G19+'Cenova nabidka ELEKTRO'!$H19))</f>
        <v>0</v>
      </c>
      <c r="H20" s="120">
        <f>'NABIDKA DOPRAVCE'!$L23*'Vypocty indexu'!H31*('Cenova nabidka ELEKTRO'!$F19+IF(OR(H$33&lt;SH,H$33&gt;HH),'Cenova nabidka ELEKTRO'!$G19*1/(1+H$33)*IF(NaPoVo=0,0,'Beh smlouvy'!G$8/NaPoVo)+'Cenova nabidka ELEKTRO'!$H19*1/(1+H$33),'Cenova nabidka ELEKTRO'!$G19+'Cenova nabidka ELEKTRO'!$H19))</f>
        <v>0</v>
      </c>
      <c r="I20" s="120">
        <f>'NABIDKA DOPRAVCE'!$L23*'Vypocty indexu'!I31*('Cenova nabidka ELEKTRO'!$F19+IF(OR(I$33&lt;SH,I$33&gt;HH),'Cenova nabidka ELEKTRO'!$G19*1/(1+I$33)*IF(NaPoVo=0,0,'Beh smlouvy'!H$8/NaPoVo)+'Cenova nabidka ELEKTRO'!$H19*1/(1+I$33),'Cenova nabidka ELEKTRO'!$G19+'Cenova nabidka ELEKTRO'!$H19))</f>
        <v>0</v>
      </c>
      <c r="J20" s="120">
        <f>'NABIDKA DOPRAVCE'!$L23*'Vypocty indexu'!J31*('Cenova nabidka ELEKTRO'!$F19+IF(OR(J$33&lt;SH,J$33&gt;HH),'Cenova nabidka ELEKTRO'!$G19*1/(1+J$33)*IF(NaPoVo=0,0,'Beh smlouvy'!I$8/NaPoVo)+'Cenova nabidka ELEKTRO'!$H19*1/(1+J$33),'Cenova nabidka ELEKTRO'!$G19+'Cenova nabidka ELEKTRO'!$H19))</f>
        <v>0</v>
      </c>
      <c r="K20" s="120">
        <f>'NABIDKA DOPRAVCE'!$L23*'Vypocty indexu'!K31*('Cenova nabidka ELEKTRO'!$F19+IF(OR(K$33&lt;SH,K$33&gt;HH),'Cenova nabidka ELEKTRO'!$G19*1/(1+K$33)*IF(NaPoVo=0,0,'Beh smlouvy'!J$8/NaPoVo)+'Cenova nabidka ELEKTRO'!$H19*1/(1+K$33),'Cenova nabidka ELEKTRO'!$G19+'Cenova nabidka ELEKTRO'!$H19))</f>
        <v>0</v>
      </c>
      <c r="L20" s="120">
        <f>'NABIDKA DOPRAVCE'!$L23*'Vypocty indexu'!L31*('Cenova nabidka ELEKTRO'!$F19+IF(OR(L$33&lt;SH,L$33&gt;HH),'Cenova nabidka ELEKTRO'!$G19*1/(1+L$33)*IF(NaPoVo=0,0,'Beh smlouvy'!K$8/NaPoVo)+'Cenova nabidka ELEKTRO'!$H19*1/(1+L$33),'Cenova nabidka ELEKTRO'!$G19+'Cenova nabidka ELEKTRO'!$H19))</f>
        <v>0</v>
      </c>
      <c r="M20" s="120">
        <f>'NABIDKA DOPRAVCE'!$L23*'Vypocty indexu'!M31*('Cenova nabidka ELEKTRO'!$F19+IF(OR(M$33&lt;SH,M$33&gt;HH),'Cenova nabidka ELEKTRO'!$G19*1/(1+M$33)*IF(NaPoVo=0,0,'Beh smlouvy'!L$8/NaPoVo)+'Cenova nabidka ELEKTRO'!$H19*1/(1+M$33),'Cenova nabidka ELEKTRO'!$G19+'Cenova nabidka ELEKTRO'!$H19))</f>
        <v>0</v>
      </c>
      <c r="N20" s="120">
        <f>'NABIDKA DOPRAVCE'!$L23*'Vypocty indexu'!N31*('Cenova nabidka ELEKTRO'!$F19+IF(OR(N$33&lt;SH,N$33&gt;HH),'Cenova nabidka ELEKTRO'!$G19*1/(1+N$33)*IF(NaPoVo=0,0,'Beh smlouvy'!M$8/NaPoVo)+'Cenova nabidka ELEKTRO'!$H19*1/(1+N$33),'Cenova nabidka ELEKTRO'!$G19+'Cenova nabidka ELEKTRO'!$H19))</f>
        <v>0</v>
      </c>
    </row>
    <row r="21" spans="2:14" ht="12.75" outlineLevel="1">
      <c r="B21" s="56">
        <v>18</v>
      </c>
      <c r="C21" s="47" t="s">
        <v>13</v>
      </c>
      <c r="D21" s="193"/>
      <c r="E21" s="120">
        <f>'NABIDKA DOPRAVCE'!$L24*'Vypocty indexu'!E32*('Cenova nabidka ELEKTRO'!$F20+IF(OR(E$33&lt;SH,E$33&gt;HH),'Cenova nabidka ELEKTRO'!$G20*1/(1+E$33)*IF(NaPoVo=0,0,'Beh smlouvy'!D$8/NaPoVo)+'Cenova nabidka ELEKTRO'!$H20*1/(1+E$33),'Cenova nabidka ELEKTRO'!$G20+'Cenova nabidka ELEKTRO'!$H20))</f>
        <v>0</v>
      </c>
      <c r="F21" s="120">
        <f>'NABIDKA DOPRAVCE'!$L24*'Vypocty indexu'!F32*('Cenova nabidka ELEKTRO'!$F20+IF(OR(F$33&lt;SH,F$33&gt;HH),'Cenova nabidka ELEKTRO'!$G20*1/(1+F$33)*IF(NaPoVo=0,0,'Beh smlouvy'!E$8/NaPoVo)+'Cenova nabidka ELEKTRO'!$H20*1/(1+F$33),'Cenova nabidka ELEKTRO'!$G20+'Cenova nabidka ELEKTRO'!$H20))</f>
        <v>0</v>
      </c>
      <c r="G21" s="120">
        <f>'NABIDKA DOPRAVCE'!$L24*'Vypocty indexu'!G32*('Cenova nabidka ELEKTRO'!$F20+IF(OR(G$33&lt;SH,G$33&gt;HH),'Cenova nabidka ELEKTRO'!$G20*1/(1+G$33)*IF(NaPoVo=0,0,'Beh smlouvy'!F$8/NaPoVo)+'Cenova nabidka ELEKTRO'!$H20*1/(1+G$33),'Cenova nabidka ELEKTRO'!$G20+'Cenova nabidka ELEKTRO'!$H20))</f>
        <v>0</v>
      </c>
      <c r="H21" s="120">
        <f>'NABIDKA DOPRAVCE'!$L24*'Vypocty indexu'!H32*('Cenova nabidka ELEKTRO'!$F20+IF(OR(H$33&lt;SH,H$33&gt;HH),'Cenova nabidka ELEKTRO'!$G20*1/(1+H$33)*IF(NaPoVo=0,0,'Beh smlouvy'!G$8/NaPoVo)+'Cenova nabidka ELEKTRO'!$H20*1/(1+H$33),'Cenova nabidka ELEKTRO'!$G20+'Cenova nabidka ELEKTRO'!$H20))</f>
        <v>0</v>
      </c>
      <c r="I21" s="120">
        <f>'NABIDKA DOPRAVCE'!$L24*'Vypocty indexu'!I32*('Cenova nabidka ELEKTRO'!$F20+IF(OR(I$33&lt;SH,I$33&gt;HH),'Cenova nabidka ELEKTRO'!$G20*1/(1+I$33)*IF(NaPoVo=0,0,'Beh smlouvy'!H$8/NaPoVo)+'Cenova nabidka ELEKTRO'!$H20*1/(1+I$33),'Cenova nabidka ELEKTRO'!$G20+'Cenova nabidka ELEKTRO'!$H20))</f>
        <v>0</v>
      </c>
      <c r="J21" s="120">
        <f>'NABIDKA DOPRAVCE'!$L24*'Vypocty indexu'!J32*('Cenova nabidka ELEKTRO'!$F20+IF(OR(J$33&lt;SH,J$33&gt;HH),'Cenova nabidka ELEKTRO'!$G20*1/(1+J$33)*IF(NaPoVo=0,0,'Beh smlouvy'!I$8/NaPoVo)+'Cenova nabidka ELEKTRO'!$H20*1/(1+J$33),'Cenova nabidka ELEKTRO'!$G20+'Cenova nabidka ELEKTRO'!$H20))</f>
        <v>0</v>
      </c>
      <c r="K21" s="120">
        <f>'NABIDKA DOPRAVCE'!$L24*'Vypocty indexu'!K32*('Cenova nabidka ELEKTRO'!$F20+IF(OR(K$33&lt;SH,K$33&gt;HH),'Cenova nabidka ELEKTRO'!$G20*1/(1+K$33)*IF(NaPoVo=0,0,'Beh smlouvy'!J$8/NaPoVo)+'Cenova nabidka ELEKTRO'!$H20*1/(1+K$33),'Cenova nabidka ELEKTRO'!$G20+'Cenova nabidka ELEKTRO'!$H20))</f>
        <v>0</v>
      </c>
      <c r="L21" s="120">
        <f>'NABIDKA DOPRAVCE'!$L24*'Vypocty indexu'!L32*('Cenova nabidka ELEKTRO'!$F20+IF(OR(L$33&lt;SH,L$33&gt;HH),'Cenova nabidka ELEKTRO'!$G20*1/(1+L$33)*IF(NaPoVo=0,0,'Beh smlouvy'!K$8/NaPoVo)+'Cenova nabidka ELEKTRO'!$H20*1/(1+L$33),'Cenova nabidka ELEKTRO'!$G20+'Cenova nabidka ELEKTRO'!$H20))</f>
        <v>0</v>
      </c>
      <c r="M21" s="120">
        <f>'NABIDKA DOPRAVCE'!$L24*'Vypocty indexu'!M32*('Cenova nabidka ELEKTRO'!$F20+IF(OR(M$33&lt;SH,M$33&gt;HH),'Cenova nabidka ELEKTRO'!$G20*1/(1+M$33)*IF(NaPoVo=0,0,'Beh smlouvy'!L$8/NaPoVo)+'Cenova nabidka ELEKTRO'!$H20*1/(1+M$33),'Cenova nabidka ELEKTRO'!$G20+'Cenova nabidka ELEKTRO'!$H20))</f>
        <v>0</v>
      </c>
      <c r="N21" s="120">
        <f>'NABIDKA DOPRAVCE'!$L24*'Vypocty indexu'!N32*('Cenova nabidka ELEKTRO'!$F20+IF(OR(N$33&lt;SH,N$33&gt;HH),'Cenova nabidka ELEKTRO'!$G20*1/(1+N$33)*IF(NaPoVo=0,0,'Beh smlouvy'!M$8/NaPoVo)+'Cenova nabidka ELEKTRO'!$H20*1/(1+N$33),'Cenova nabidka ELEKTRO'!$G20+'Cenova nabidka ELEKTRO'!$H20))</f>
        <v>0</v>
      </c>
    </row>
    <row r="22" spans="2:14" ht="12.75" outlineLevel="1">
      <c r="B22" s="56">
        <v>19</v>
      </c>
      <c r="C22" s="47" t="s">
        <v>14</v>
      </c>
      <c r="D22" s="193"/>
      <c r="E22" s="120">
        <f>'NABIDKA DOPRAVCE'!$L25*'Vypocty indexu'!E33*('Cenova nabidka ELEKTRO'!$F21+IF(OR(E$33&lt;SH,E$33&gt;HH),'Cenova nabidka ELEKTRO'!$G21*1/(1+E$33)*IF(NaPoVo=0,0,'Beh smlouvy'!D$8/NaPoVo)+'Cenova nabidka ELEKTRO'!$H21*1/(1+E$33),'Cenova nabidka ELEKTRO'!$G21+'Cenova nabidka ELEKTRO'!$H21))</f>
        <v>0</v>
      </c>
      <c r="F22" s="120">
        <f>'NABIDKA DOPRAVCE'!$L25*'Vypocty indexu'!F33*('Cenova nabidka ELEKTRO'!$F21+IF(OR(F$33&lt;SH,F$33&gt;HH),'Cenova nabidka ELEKTRO'!$G21*1/(1+F$33)*IF(NaPoVo=0,0,'Beh smlouvy'!E$8/NaPoVo)+'Cenova nabidka ELEKTRO'!$H21*1/(1+F$33),'Cenova nabidka ELEKTRO'!$G21+'Cenova nabidka ELEKTRO'!$H21))</f>
        <v>0</v>
      </c>
      <c r="G22" s="120">
        <f>'NABIDKA DOPRAVCE'!$L25*'Vypocty indexu'!G33*('Cenova nabidka ELEKTRO'!$F21+IF(OR(G$33&lt;SH,G$33&gt;HH),'Cenova nabidka ELEKTRO'!$G21*1/(1+G$33)*IF(NaPoVo=0,0,'Beh smlouvy'!F$8/NaPoVo)+'Cenova nabidka ELEKTRO'!$H21*1/(1+G$33),'Cenova nabidka ELEKTRO'!$G21+'Cenova nabidka ELEKTRO'!$H21))</f>
        <v>0</v>
      </c>
      <c r="H22" s="120">
        <f>'NABIDKA DOPRAVCE'!$L25*'Vypocty indexu'!H33*('Cenova nabidka ELEKTRO'!$F21+IF(OR(H$33&lt;SH,H$33&gt;HH),'Cenova nabidka ELEKTRO'!$G21*1/(1+H$33)*IF(NaPoVo=0,0,'Beh smlouvy'!G$8/NaPoVo)+'Cenova nabidka ELEKTRO'!$H21*1/(1+H$33),'Cenova nabidka ELEKTRO'!$G21+'Cenova nabidka ELEKTRO'!$H21))</f>
        <v>0</v>
      </c>
      <c r="I22" s="120">
        <f>'NABIDKA DOPRAVCE'!$L25*'Vypocty indexu'!I33*('Cenova nabidka ELEKTRO'!$F21+IF(OR(I$33&lt;SH,I$33&gt;HH),'Cenova nabidka ELEKTRO'!$G21*1/(1+I$33)*IF(NaPoVo=0,0,'Beh smlouvy'!H$8/NaPoVo)+'Cenova nabidka ELEKTRO'!$H21*1/(1+I$33),'Cenova nabidka ELEKTRO'!$G21+'Cenova nabidka ELEKTRO'!$H21))</f>
        <v>0</v>
      </c>
      <c r="J22" s="120">
        <f>'NABIDKA DOPRAVCE'!$L25*'Vypocty indexu'!J33*('Cenova nabidka ELEKTRO'!$F21+IF(OR(J$33&lt;SH,J$33&gt;HH),'Cenova nabidka ELEKTRO'!$G21*1/(1+J$33)*IF(NaPoVo=0,0,'Beh smlouvy'!I$8/NaPoVo)+'Cenova nabidka ELEKTRO'!$H21*1/(1+J$33),'Cenova nabidka ELEKTRO'!$G21+'Cenova nabidka ELEKTRO'!$H21))</f>
        <v>0</v>
      </c>
      <c r="K22" s="120">
        <f>'NABIDKA DOPRAVCE'!$L25*'Vypocty indexu'!K33*('Cenova nabidka ELEKTRO'!$F21+IF(OR(K$33&lt;SH,K$33&gt;HH),'Cenova nabidka ELEKTRO'!$G21*1/(1+K$33)*IF(NaPoVo=0,0,'Beh smlouvy'!J$8/NaPoVo)+'Cenova nabidka ELEKTRO'!$H21*1/(1+K$33),'Cenova nabidka ELEKTRO'!$G21+'Cenova nabidka ELEKTRO'!$H21))</f>
        <v>0</v>
      </c>
      <c r="L22" s="120">
        <f>'NABIDKA DOPRAVCE'!$L25*'Vypocty indexu'!L33*('Cenova nabidka ELEKTRO'!$F21+IF(OR(L$33&lt;SH,L$33&gt;HH),'Cenova nabidka ELEKTRO'!$G21*1/(1+L$33)*IF(NaPoVo=0,0,'Beh smlouvy'!K$8/NaPoVo)+'Cenova nabidka ELEKTRO'!$H21*1/(1+L$33),'Cenova nabidka ELEKTRO'!$G21+'Cenova nabidka ELEKTRO'!$H21))</f>
        <v>0</v>
      </c>
      <c r="M22" s="120">
        <f>'NABIDKA DOPRAVCE'!$L25*'Vypocty indexu'!M33*('Cenova nabidka ELEKTRO'!$F21+IF(OR(M$33&lt;SH,M$33&gt;HH),'Cenova nabidka ELEKTRO'!$G21*1/(1+M$33)*IF(NaPoVo=0,0,'Beh smlouvy'!L$8/NaPoVo)+'Cenova nabidka ELEKTRO'!$H21*1/(1+M$33),'Cenova nabidka ELEKTRO'!$G21+'Cenova nabidka ELEKTRO'!$H21))</f>
        <v>0</v>
      </c>
      <c r="N22" s="120">
        <f>'NABIDKA DOPRAVCE'!$L25*'Vypocty indexu'!N33*('Cenova nabidka ELEKTRO'!$F21+IF(OR(N$33&lt;SH,N$33&gt;HH),'Cenova nabidka ELEKTRO'!$G21*1/(1+N$33)*IF(NaPoVo=0,0,'Beh smlouvy'!M$8/NaPoVo)+'Cenova nabidka ELEKTRO'!$H21*1/(1+N$33),'Cenova nabidka ELEKTRO'!$G21+'Cenova nabidka ELEKTRO'!$H21))</f>
        <v>0</v>
      </c>
    </row>
    <row r="23" spans="2:14" ht="12.75" outlineLevel="1">
      <c r="B23" s="56">
        <v>20</v>
      </c>
      <c r="C23" s="47" t="s">
        <v>15</v>
      </c>
      <c r="D23" s="193"/>
      <c r="E23" s="120">
        <f>'NABIDKA DOPRAVCE'!$L26*'Vypocty indexu'!E34*('Cenova nabidka ELEKTRO'!$F22+IF(OR(E$33&lt;SH,E$33&gt;HH),'Cenova nabidka ELEKTRO'!$G22*1/(1+E$33)*IF(NaPoVo=0,0,'Beh smlouvy'!D$8/NaPoVo)+'Cenova nabidka ELEKTRO'!$H22*1/(1+E$33),'Cenova nabidka ELEKTRO'!$G22+'Cenova nabidka ELEKTRO'!$H22))</f>
        <v>0</v>
      </c>
      <c r="F23" s="120">
        <f>'NABIDKA DOPRAVCE'!$L26*'Vypocty indexu'!F34*('Cenova nabidka ELEKTRO'!$F22+IF(OR(F$33&lt;SH,F$33&gt;HH),'Cenova nabidka ELEKTRO'!$G22*1/(1+F$33)*IF(NaPoVo=0,0,'Beh smlouvy'!E$8/NaPoVo)+'Cenova nabidka ELEKTRO'!$H22*1/(1+F$33),'Cenova nabidka ELEKTRO'!$G22+'Cenova nabidka ELEKTRO'!$H22))</f>
        <v>0</v>
      </c>
      <c r="G23" s="120">
        <f>'NABIDKA DOPRAVCE'!$L26*'Vypocty indexu'!G34*('Cenova nabidka ELEKTRO'!$F22+IF(OR(G$33&lt;SH,G$33&gt;HH),'Cenova nabidka ELEKTRO'!$G22*1/(1+G$33)*IF(NaPoVo=0,0,'Beh smlouvy'!F$8/NaPoVo)+'Cenova nabidka ELEKTRO'!$H22*1/(1+G$33),'Cenova nabidka ELEKTRO'!$G22+'Cenova nabidka ELEKTRO'!$H22))</f>
        <v>0</v>
      </c>
      <c r="H23" s="120">
        <f>'NABIDKA DOPRAVCE'!$L26*'Vypocty indexu'!H34*('Cenova nabidka ELEKTRO'!$F22+IF(OR(H$33&lt;SH,H$33&gt;HH),'Cenova nabidka ELEKTRO'!$G22*1/(1+H$33)*IF(NaPoVo=0,0,'Beh smlouvy'!G$8/NaPoVo)+'Cenova nabidka ELEKTRO'!$H22*1/(1+H$33),'Cenova nabidka ELEKTRO'!$G22+'Cenova nabidka ELEKTRO'!$H22))</f>
        <v>0</v>
      </c>
      <c r="I23" s="120">
        <f>'NABIDKA DOPRAVCE'!$L26*'Vypocty indexu'!I34*('Cenova nabidka ELEKTRO'!$F22+IF(OR(I$33&lt;SH,I$33&gt;HH),'Cenova nabidka ELEKTRO'!$G22*1/(1+I$33)*IF(NaPoVo=0,0,'Beh smlouvy'!H$8/NaPoVo)+'Cenova nabidka ELEKTRO'!$H22*1/(1+I$33),'Cenova nabidka ELEKTRO'!$G22+'Cenova nabidka ELEKTRO'!$H22))</f>
        <v>0</v>
      </c>
      <c r="J23" s="120">
        <f>'NABIDKA DOPRAVCE'!$L26*'Vypocty indexu'!J34*('Cenova nabidka ELEKTRO'!$F22+IF(OR(J$33&lt;SH,J$33&gt;HH),'Cenova nabidka ELEKTRO'!$G22*1/(1+J$33)*IF(NaPoVo=0,0,'Beh smlouvy'!I$8/NaPoVo)+'Cenova nabidka ELEKTRO'!$H22*1/(1+J$33),'Cenova nabidka ELEKTRO'!$G22+'Cenova nabidka ELEKTRO'!$H22))</f>
        <v>0</v>
      </c>
      <c r="K23" s="120">
        <f>'NABIDKA DOPRAVCE'!$L26*'Vypocty indexu'!K34*('Cenova nabidka ELEKTRO'!$F22+IF(OR(K$33&lt;SH,K$33&gt;HH),'Cenova nabidka ELEKTRO'!$G22*1/(1+K$33)*IF(NaPoVo=0,0,'Beh smlouvy'!J$8/NaPoVo)+'Cenova nabidka ELEKTRO'!$H22*1/(1+K$33),'Cenova nabidka ELEKTRO'!$G22+'Cenova nabidka ELEKTRO'!$H22))</f>
        <v>0</v>
      </c>
      <c r="L23" s="120">
        <f>'NABIDKA DOPRAVCE'!$L26*'Vypocty indexu'!L34*('Cenova nabidka ELEKTRO'!$F22+IF(OR(L$33&lt;SH,L$33&gt;HH),'Cenova nabidka ELEKTRO'!$G22*1/(1+L$33)*IF(NaPoVo=0,0,'Beh smlouvy'!K$8/NaPoVo)+'Cenova nabidka ELEKTRO'!$H22*1/(1+L$33),'Cenova nabidka ELEKTRO'!$G22+'Cenova nabidka ELEKTRO'!$H22))</f>
        <v>0</v>
      </c>
      <c r="M23" s="120">
        <f>'NABIDKA DOPRAVCE'!$L26*'Vypocty indexu'!M34*('Cenova nabidka ELEKTRO'!$F22+IF(OR(M$33&lt;SH,M$33&gt;HH),'Cenova nabidka ELEKTRO'!$G22*1/(1+M$33)*IF(NaPoVo=0,0,'Beh smlouvy'!L$8/NaPoVo)+'Cenova nabidka ELEKTRO'!$H22*1/(1+M$33),'Cenova nabidka ELEKTRO'!$G22+'Cenova nabidka ELEKTRO'!$H22))</f>
        <v>0</v>
      </c>
      <c r="N23" s="120">
        <f>'NABIDKA DOPRAVCE'!$L26*'Vypocty indexu'!N34*('Cenova nabidka ELEKTRO'!$F22+IF(OR(N$33&lt;SH,N$33&gt;HH),'Cenova nabidka ELEKTRO'!$G22*1/(1+N$33)*IF(NaPoVo=0,0,'Beh smlouvy'!M$8/NaPoVo)+'Cenova nabidka ELEKTRO'!$H22*1/(1+N$33),'Cenova nabidka ELEKTRO'!$G22+'Cenova nabidka ELEKTRO'!$H22))</f>
        <v>0</v>
      </c>
    </row>
    <row r="24" spans="2:14" ht="12.75" outlineLevel="1">
      <c r="B24" s="56">
        <v>21</v>
      </c>
      <c r="C24" s="47" t="s">
        <v>16</v>
      </c>
      <c r="D24" s="193"/>
      <c r="E24" s="120">
        <f>'NABIDKA DOPRAVCE'!$L27*'Vypocty indexu'!E35*('Cenova nabidka ELEKTRO'!$F23+IF(OR(E$33&lt;SH,E$33&gt;HH),'Cenova nabidka ELEKTRO'!$G23*1/(1+E$33)*IF(NaPoVo=0,0,'Beh smlouvy'!D$8/NaPoVo)+'Cenova nabidka ELEKTRO'!$H23*1/(1+E$33),'Cenova nabidka ELEKTRO'!$G23+'Cenova nabidka ELEKTRO'!$H23))</f>
        <v>0.03196</v>
      </c>
      <c r="F24" s="120">
        <f>'NABIDKA DOPRAVCE'!$L27*'Vypocty indexu'!F35*('Cenova nabidka ELEKTRO'!$F23+IF(OR(F$33&lt;SH,F$33&gt;HH),'Cenova nabidka ELEKTRO'!$G23*1/(1+F$33)*IF(NaPoVo=0,0,'Beh smlouvy'!E$8/NaPoVo)+'Cenova nabidka ELEKTRO'!$H23*1/(1+F$33),'Cenova nabidka ELEKTRO'!$G23+'Cenova nabidka ELEKTRO'!$H23))</f>
        <v>0</v>
      </c>
      <c r="G24" s="120">
        <f>'NABIDKA DOPRAVCE'!$L27*'Vypocty indexu'!G35*('Cenova nabidka ELEKTRO'!$F23+IF(OR(G$33&lt;SH,G$33&gt;HH),'Cenova nabidka ELEKTRO'!$G23*1/(1+G$33)*IF(NaPoVo=0,0,'Beh smlouvy'!F$8/NaPoVo)+'Cenova nabidka ELEKTRO'!$H23*1/(1+G$33),'Cenova nabidka ELEKTRO'!$G23+'Cenova nabidka ELEKTRO'!$H23))</f>
        <v>0</v>
      </c>
      <c r="H24" s="120">
        <f>'NABIDKA DOPRAVCE'!$L27*'Vypocty indexu'!H35*('Cenova nabidka ELEKTRO'!$F23+IF(OR(H$33&lt;SH,H$33&gt;HH),'Cenova nabidka ELEKTRO'!$G23*1/(1+H$33)*IF(NaPoVo=0,0,'Beh smlouvy'!G$8/NaPoVo)+'Cenova nabidka ELEKTRO'!$H23*1/(1+H$33),'Cenova nabidka ELEKTRO'!$G23+'Cenova nabidka ELEKTRO'!$H23))</f>
        <v>0</v>
      </c>
      <c r="I24" s="120">
        <f>'NABIDKA DOPRAVCE'!$L27*'Vypocty indexu'!I35*('Cenova nabidka ELEKTRO'!$F23+IF(OR(I$33&lt;SH,I$33&gt;HH),'Cenova nabidka ELEKTRO'!$G23*1/(1+I$33)*IF(NaPoVo=0,0,'Beh smlouvy'!H$8/NaPoVo)+'Cenova nabidka ELEKTRO'!$H23*1/(1+I$33),'Cenova nabidka ELEKTRO'!$G23+'Cenova nabidka ELEKTRO'!$H23))</f>
        <v>0</v>
      </c>
      <c r="J24" s="120">
        <f>'NABIDKA DOPRAVCE'!$L27*'Vypocty indexu'!J35*('Cenova nabidka ELEKTRO'!$F23+IF(OR(J$33&lt;SH,J$33&gt;HH),'Cenova nabidka ELEKTRO'!$G23*1/(1+J$33)*IF(NaPoVo=0,0,'Beh smlouvy'!I$8/NaPoVo)+'Cenova nabidka ELEKTRO'!$H23*1/(1+J$33),'Cenova nabidka ELEKTRO'!$G23+'Cenova nabidka ELEKTRO'!$H23))</f>
        <v>0</v>
      </c>
      <c r="K24" s="120">
        <f>'NABIDKA DOPRAVCE'!$L27*'Vypocty indexu'!K35*('Cenova nabidka ELEKTRO'!$F23+IF(OR(K$33&lt;SH,K$33&gt;HH),'Cenova nabidka ELEKTRO'!$G23*1/(1+K$33)*IF(NaPoVo=0,0,'Beh smlouvy'!J$8/NaPoVo)+'Cenova nabidka ELEKTRO'!$H23*1/(1+K$33),'Cenova nabidka ELEKTRO'!$G23+'Cenova nabidka ELEKTRO'!$H23))</f>
        <v>0</v>
      </c>
      <c r="L24" s="120">
        <f>'NABIDKA DOPRAVCE'!$L27*'Vypocty indexu'!L35*('Cenova nabidka ELEKTRO'!$F23+IF(OR(L$33&lt;SH,L$33&gt;HH),'Cenova nabidka ELEKTRO'!$G23*1/(1+L$33)*IF(NaPoVo=0,0,'Beh smlouvy'!K$8/NaPoVo)+'Cenova nabidka ELEKTRO'!$H23*1/(1+L$33),'Cenova nabidka ELEKTRO'!$G23+'Cenova nabidka ELEKTRO'!$H23))</f>
        <v>0</v>
      </c>
      <c r="M24" s="120">
        <f>'NABIDKA DOPRAVCE'!$L27*'Vypocty indexu'!M35*('Cenova nabidka ELEKTRO'!$F23+IF(OR(M$33&lt;SH,M$33&gt;HH),'Cenova nabidka ELEKTRO'!$G23*1/(1+M$33)*IF(NaPoVo=0,0,'Beh smlouvy'!L$8/NaPoVo)+'Cenova nabidka ELEKTRO'!$H23*1/(1+M$33),'Cenova nabidka ELEKTRO'!$G23+'Cenova nabidka ELEKTRO'!$H23))</f>
        <v>0</v>
      </c>
      <c r="N24" s="120">
        <f>'NABIDKA DOPRAVCE'!$L27*'Vypocty indexu'!N35*('Cenova nabidka ELEKTRO'!$F23+IF(OR(N$33&lt;SH,N$33&gt;HH),'Cenova nabidka ELEKTRO'!$G23*1/(1+N$33)*IF(NaPoVo=0,0,'Beh smlouvy'!M$8/NaPoVo)+'Cenova nabidka ELEKTRO'!$H23*1/(1+N$33),'Cenova nabidka ELEKTRO'!$G23+'Cenova nabidka ELEKTRO'!$H23))</f>
        <v>0</v>
      </c>
    </row>
    <row r="25" spans="2:14" ht="12.75" outlineLevel="1">
      <c r="B25" s="56">
        <v>22</v>
      </c>
      <c r="C25" s="47" t="s">
        <v>17</v>
      </c>
      <c r="D25" s="193"/>
      <c r="E25" s="120">
        <f>'NABIDKA DOPRAVCE'!$L28*'Vypocty indexu'!E36*('Cenova nabidka ELEKTRO'!$F24+IF(OR(E$33&lt;SH,E$33&gt;HH),'Cenova nabidka ELEKTRO'!$G24*1/(1+E$33)*IF(NaPoVo=0,0,'Beh smlouvy'!D$8/NaPoVo)+'Cenova nabidka ELEKTRO'!$H24*1/(1+E$33),'Cenova nabidka ELEKTRO'!$G24+'Cenova nabidka ELEKTRO'!$H24))</f>
        <v>0</v>
      </c>
      <c r="F25" s="120">
        <f>'NABIDKA DOPRAVCE'!$L28*'Vypocty indexu'!F36*('Cenova nabidka ELEKTRO'!$F24+IF(OR(F$33&lt;SH,F$33&gt;HH),'Cenova nabidka ELEKTRO'!$G24*1/(1+F$33)*IF(NaPoVo=0,0,'Beh smlouvy'!E$8/NaPoVo)+'Cenova nabidka ELEKTRO'!$H24*1/(1+F$33),'Cenova nabidka ELEKTRO'!$G24+'Cenova nabidka ELEKTRO'!$H24))</f>
        <v>0</v>
      </c>
      <c r="G25" s="120">
        <f>'NABIDKA DOPRAVCE'!$L28*'Vypocty indexu'!G36*('Cenova nabidka ELEKTRO'!$F24+IF(OR(G$33&lt;SH,G$33&gt;HH),'Cenova nabidka ELEKTRO'!$G24*1/(1+G$33)*IF(NaPoVo=0,0,'Beh smlouvy'!F$8/NaPoVo)+'Cenova nabidka ELEKTRO'!$H24*1/(1+G$33),'Cenova nabidka ELEKTRO'!$G24+'Cenova nabidka ELEKTRO'!$H24))</f>
        <v>0</v>
      </c>
      <c r="H25" s="120">
        <f>'NABIDKA DOPRAVCE'!$L28*'Vypocty indexu'!H36*('Cenova nabidka ELEKTRO'!$F24+IF(OR(H$33&lt;SH,H$33&gt;HH),'Cenova nabidka ELEKTRO'!$G24*1/(1+H$33)*IF(NaPoVo=0,0,'Beh smlouvy'!G$8/NaPoVo)+'Cenova nabidka ELEKTRO'!$H24*1/(1+H$33),'Cenova nabidka ELEKTRO'!$G24+'Cenova nabidka ELEKTRO'!$H24))</f>
        <v>0</v>
      </c>
      <c r="I25" s="120">
        <f>'NABIDKA DOPRAVCE'!$L28*'Vypocty indexu'!I36*('Cenova nabidka ELEKTRO'!$F24+IF(OR(I$33&lt;SH,I$33&gt;HH),'Cenova nabidka ELEKTRO'!$G24*1/(1+I$33)*IF(NaPoVo=0,0,'Beh smlouvy'!H$8/NaPoVo)+'Cenova nabidka ELEKTRO'!$H24*1/(1+I$33),'Cenova nabidka ELEKTRO'!$G24+'Cenova nabidka ELEKTRO'!$H24))</f>
        <v>0</v>
      </c>
      <c r="J25" s="120">
        <f>'NABIDKA DOPRAVCE'!$L28*'Vypocty indexu'!J36*('Cenova nabidka ELEKTRO'!$F24+IF(OR(J$33&lt;SH,J$33&gt;HH),'Cenova nabidka ELEKTRO'!$G24*1/(1+J$33)*IF(NaPoVo=0,0,'Beh smlouvy'!I$8/NaPoVo)+'Cenova nabidka ELEKTRO'!$H24*1/(1+J$33),'Cenova nabidka ELEKTRO'!$G24+'Cenova nabidka ELEKTRO'!$H24))</f>
        <v>0</v>
      </c>
      <c r="K25" s="120">
        <f>'NABIDKA DOPRAVCE'!$L28*'Vypocty indexu'!K36*('Cenova nabidka ELEKTRO'!$F24+IF(OR(K$33&lt;SH,K$33&gt;HH),'Cenova nabidka ELEKTRO'!$G24*1/(1+K$33)*IF(NaPoVo=0,0,'Beh smlouvy'!J$8/NaPoVo)+'Cenova nabidka ELEKTRO'!$H24*1/(1+K$33),'Cenova nabidka ELEKTRO'!$G24+'Cenova nabidka ELEKTRO'!$H24))</f>
        <v>0</v>
      </c>
      <c r="L25" s="120">
        <f>'NABIDKA DOPRAVCE'!$L28*'Vypocty indexu'!L36*('Cenova nabidka ELEKTRO'!$F24+IF(OR(L$33&lt;SH,L$33&gt;HH),'Cenova nabidka ELEKTRO'!$G24*1/(1+L$33)*IF(NaPoVo=0,0,'Beh smlouvy'!K$8/NaPoVo)+'Cenova nabidka ELEKTRO'!$H24*1/(1+L$33),'Cenova nabidka ELEKTRO'!$G24+'Cenova nabidka ELEKTRO'!$H24))</f>
        <v>0</v>
      </c>
      <c r="M25" s="120">
        <f>'NABIDKA DOPRAVCE'!$L28*'Vypocty indexu'!M36*('Cenova nabidka ELEKTRO'!$F24+IF(OR(M$33&lt;SH,M$33&gt;HH),'Cenova nabidka ELEKTRO'!$G24*1/(1+M$33)*IF(NaPoVo=0,0,'Beh smlouvy'!L$8/NaPoVo)+'Cenova nabidka ELEKTRO'!$H24*1/(1+M$33),'Cenova nabidka ELEKTRO'!$G24+'Cenova nabidka ELEKTRO'!$H24))</f>
        <v>0</v>
      </c>
      <c r="N25" s="120">
        <f>'NABIDKA DOPRAVCE'!$L28*'Vypocty indexu'!N36*('Cenova nabidka ELEKTRO'!$F24+IF(OR(N$33&lt;SH,N$33&gt;HH),'Cenova nabidka ELEKTRO'!$G24*1/(1+N$33)*IF(NaPoVo=0,0,'Beh smlouvy'!M$8/NaPoVo)+'Cenova nabidka ELEKTRO'!$H24*1/(1+N$33),'Cenova nabidka ELEKTRO'!$G24+'Cenova nabidka ELEKTRO'!$H24))</f>
        <v>0</v>
      </c>
    </row>
    <row r="26" spans="2:14" ht="12.75" outlineLevel="1">
      <c r="B26" s="56">
        <v>23</v>
      </c>
      <c r="C26" s="47" t="s">
        <v>18</v>
      </c>
      <c r="D26" s="193"/>
      <c r="E26" s="120">
        <f>'NABIDKA DOPRAVCE'!$L29*'Vypocty indexu'!E37*('Cenova nabidka ELEKTRO'!$F25+IF(OR(E$33&lt;SH,E$33&gt;HH),'Cenova nabidka ELEKTRO'!$G25*1/(1+E$33)*IF(NaPoVo=0,0,'Beh smlouvy'!D$8/NaPoVo)+'Cenova nabidka ELEKTRO'!$H25*1/(1+E$33),'Cenova nabidka ELEKTRO'!$G25+'Cenova nabidka ELEKTRO'!$H25))</f>
        <v>0</v>
      </c>
      <c r="F26" s="120">
        <f>'NABIDKA DOPRAVCE'!$L29*'Vypocty indexu'!F37*('Cenova nabidka ELEKTRO'!$F25+IF(OR(F$33&lt;SH,F$33&gt;HH),'Cenova nabidka ELEKTRO'!$G25*1/(1+F$33)*IF(NaPoVo=0,0,'Beh smlouvy'!E$8/NaPoVo)+'Cenova nabidka ELEKTRO'!$H25*1/(1+F$33),'Cenova nabidka ELEKTRO'!$G25+'Cenova nabidka ELEKTRO'!$H25))</f>
        <v>0</v>
      </c>
      <c r="G26" s="120">
        <f>'NABIDKA DOPRAVCE'!$L29*'Vypocty indexu'!G37*('Cenova nabidka ELEKTRO'!$F25+IF(OR(G$33&lt;SH,G$33&gt;HH),'Cenova nabidka ELEKTRO'!$G25*1/(1+G$33)*IF(NaPoVo=0,0,'Beh smlouvy'!F$8/NaPoVo)+'Cenova nabidka ELEKTRO'!$H25*1/(1+G$33),'Cenova nabidka ELEKTRO'!$G25+'Cenova nabidka ELEKTRO'!$H25))</f>
        <v>0</v>
      </c>
      <c r="H26" s="120">
        <f>'NABIDKA DOPRAVCE'!$L29*'Vypocty indexu'!H37*('Cenova nabidka ELEKTRO'!$F25+IF(OR(H$33&lt;SH,H$33&gt;HH),'Cenova nabidka ELEKTRO'!$G25*1/(1+H$33)*IF(NaPoVo=0,0,'Beh smlouvy'!G$8/NaPoVo)+'Cenova nabidka ELEKTRO'!$H25*1/(1+H$33),'Cenova nabidka ELEKTRO'!$G25+'Cenova nabidka ELEKTRO'!$H25))</f>
        <v>0</v>
      </c>
      <c r="I26" s="120">
        <f>'NABIDKA DOPRAVCE'!$L29*'Vypocty indexu'!I37*('Cenova nabidka ELEKTRO'!$F25+IF(OR(I$33&lt;SH,I$33&gt;HH),'Cenova nabidka ELEKTRO'!$G25*1/(1+I$33)*IF(NaPoVo=0,0,'Beh smlouvy'!H$8/NaPoVo)+'Cenova nabidka ELEKTRO'!$H25*1/(1+I$33),'Cenova nabidka ELEKTRO'!$G25+'Cenova nabidka ELEKTRO'!$H25))</f>
        <v>0</v>
      </c>
      <c r="J26" s="120">
        <f>'NABIDKA DOPRAVCE'!$L29*'Vypocty indexu'!J37*('Cenova nabidka ELEKTRO'!$F25+IF(OR(J$33&lt;SH,J$33&gt;HH),'Cenova nabidka ELEKTRO'!$G25*1/(1+J$33)*IF(NaPoVo=0,0,'Beh smlouvy'!I$8/NaPoVo)+'Cenova nabidka ELEKTRO'!$H25*1/(1+J$33),'Cenova nabidka ELEKTRO'!$G25+'Cenova nabidka ELEKTRO'!$H25))</f>
        <v>0</v>
      </c>
      <c r="K26" s="120">
        <f>'NABIDKA DOPRAVCE'!$L29*'Vypocty indexu'!K37*('Cenova nabidka ELEKTRO'!$F25+IF(OR(K$33&lt;SH,K$33&gt;HH),'Cenova nabidka ELEKTRO'!$G25*1/(1+K$33)*IF(NaPoVo=0,0,'Beh smlouvy'!J$8/NaPoVo)+'Cenova nabidka ELEKTRO'!$H25*1/(1+K$33),'Cenova nabidka ELEKTRO'!$G25+'Cenova nabidka ELEKTRO'!$H25))</f>
        <v>0</v>
      </c>
      <c r="L26" s="120">
        <f>'NABIDKA DOPRAVCE'!$L29*'Vypocty indexu'!L37*('Cenova nabidka ELEKTRO'!$F25+IF(OR(L$33&lt;SH,L$33&gt;HH),'Cenova nabidka ELEKTRO'!$G25*1/(1+L$33)*IF(NaPoVo=0,0,'Beh smlouvy'!K$8/NaPoVo)+'Cenova nabidka ELEKTRO'!$H25*1/(1+L$33),'Cenova nabidka ELEKTRO'!$G25+'Cenova nabidka ELEKTRO'!$H25))</f>
        <v>0</v>
      </c>
      <c r="M26" s="120">
        <f>'NABIDKA DOPRAVCE'!$L29*'Vypocty indexu'!M37*('Cenova nabidka ELEKTRO'!$F25+IF(OR(M$33&lt;SH,M$33&gt;HH),'Cenova nabidka ELEKTRO'!$G25*1/(1+M$33)*IF(NaPoVo=0,0,'Beh smlouvy'!L$8/NaPoVo)+'Cenova nabidka ELEKTRO'!$H25*1/(1+M$33),'Cenova nabidka ELEKTRO'!$G25+'Cenova nabidka ELEKTRO'!$H25))</f>
        <v>0</v>
      </c>
      <c r="N26" s="120">
        <f>'NABIDKA DOPRAVCE'!$L29*'Vypocty indexu'!N37*('Cenova nabidka ELEKTRO'!$F25+IF(OR(N$33&lt;SH,N$33&gt;HH),'Cenova nabidka ELEKTRO'!$G25*1/(1+N$33)*IF(NaPoVo=0,0,'Beh smlouvy'!M$8/NaPoVo)+'Cenova nabidka ELEKTRO'!$H25*1/(1+N$33),'Cenova nabidka ELEKTRO'!$G25+'Cenova nabidka ELEKTRO'!$H25))</f>
        <v>0</v>
      </c>
    </row>
    <row r="27" spans="2:14" ht="12.75" outlineLevel="1">
      <c r="B27" s="56">
        <v>24</v>
      </c>
      <c r="C27" s="47" t="s">
        <v>19</v>
      </c>
      <c r="D27" s="193"/>
      <c r="E27" s="120">
        <f>'NABIDKA DOPRAVCE'!$L30*'Vypocty indexu'!E38*('Cenova nabidka ELEKTRO'!$F26+IF(OR(E$33&lt;SH,E$33&gt;HH),'Cenova nabidka ELEKTRO'!$G26*1/(1+E$33)*IF(NaPoVo=0,0,'Beh smlouvy'!D$8/NaPoVo)+'Cenova nabidka ELEKTRO'!$H26*1/(1+E$33),'Cenova nabidka ELEKTRO'!$G26+'Cenova nabidka ELEKTRO'!$H26))</f>
        <v>0</v>
      </c>
      <c r="F27" s="120">
        <f>'NABIDKA DOPRAVCE'!$L30*'Vypocty indexu'!F38*('Cenova nabidka ELEKTRO'!$F26+IF(OR(F$33&lt;SH,F$33&gt;HH),'Cenova nabidka ELEKTRO'!$G26*1/(1+F$33)*IF(NaPoVo=0,0,'Beh smlouvy'!E$8/NaPoVo)+'Cenova nabidka ELEKTRO'!$H26*1/(1+F$33),'Cenova nabidka ELEKTRO'!$G26+'Cenova nabidka ELEKTRO'!$H26))</f>
        <v>0</v>
      </c>
      <c r="G27" s="120">
        <f>'NABIDKA DOPRAVCE'!$L30*'Vypocty indexu'!G38*('Cenova nabidka ELEKTRO'!$F26+IF(OR(G$33&lt;SH,G$33&gt;HH),'Cenova nabidka ELEKTRO'!$G26*1/(1+G$33)*IF(NaPoVo=0,0,'Beh smlouvy'!F$8/NaPoVo)+'Cenova nabidka ELEKTRO'!$H26*1/(1+G$33),'Cenova nabidka ELEKTRO'!$G26+'Cenova nabidka ELEKTRO'!$H26))</f>
        <v>0</v>
      </c>
      <c r="H27" s="120">
        <f>'NABIDKA DOPRAVCE'!$L30*'Vypocty indexu'!H38*('Cenova nabidka ELEKTRO'!$F26+IF(OR(H$33&lt;SH,H$33&gt;HH),'Cenova nabidka ELEKTRO'!$G26*1/(1+H$33)*IF(NaPoVo=0,0,'Beh smlouvy'!G$8/NaPoVo)+'Cenova nabidka ELEKTRO'!$H26*1/(1+H$33),'Cenova nabidka ELEKTRO'!$G26+'Cenova nabidka ELEKTRO'!$H26))</f>
        <v>0</v>
      </c>
      <c r="I27" s="120">
        <f>'NABIDKA DOPRAVCE'!$L30*'Vypocty indexu'!I38*('Cenova nabidka ELEKTRO'!$F26+IF(OR(I$33&lt;SH,I$33&gt;HH),'Cenova nabidka ELEKTRO'!$G26*1/(1+I$33)*IF(NaPoVo=0,0,'Beh smlouvy'!H$8/NaPoVo)+'Cenova nabidka ELEKTRO'!$H26*1/(1+I$33),'Cenova nabidka ELEKTRO'!$G26+'Cenova nabidka ELEKTRO'!$H26))</f>
        <v>0</v>
      </c>
      <c r="J27" s="120">
        <f>'NABIDKA DOPRAVCE'!$L30*'Vypocty indexu'!J38*('Cenova nabidka ELEKTRO'!$F26+IF(OR(J$33&lt;SH,J$33&gt;HH),'Cenova nabidka ELEKTRO'!$G26*1/(1+J$33)*IF(NaPoVo=0,0,'Beh smlouvy'!I$8/NaPoVo)+'Cenova nabidka ELEKTRO'!$H26*1/(1+J$33),'Cenova nabidka ELEKTRO'!$G26+'Cenova nabidka ELEKTRO'!$H26))</f>
        <v>0</v>
      </c>
      <c r="K27" s="120">
        <f>'NABIDKA DOPRAVCE'!$L30*'Vypocty indexu'!K38*('Cenova nabidka ELEKTRO'!$F26+IF(OR(K$33&lt;SH,K$33&gt;HH),'Cenova nabidka ELEKTRO'!$G26*1/(1+K$33)*IF(NaPoVo=0,0,'Beh smlouvy'!J$8/NaPoVo)+'Cenova nabidka ELEKTRO'!$H26*1/(1+K$33),'Cenova nabidka ELEKTRO'!$G26+'Cenova nabidka ELEKTRO'!$H26))</f>
        <v>0</v>
      </c>
      <c r="L27" s="120">
        <f>'NABIDKA DOPRAVCE'!$L30*'Vypocty indexu'!L38*('Cenova nabidka ELEKTRO'!$F26+IF(OR(L$33&lt;SH,L$33&gt;HH),'Cenova nabidka ELEKTRO'!$G26*1/(1+L$33)*IF(NaPoVo=0,0,'Beh smlouvy'!K$8/NaPoVo)+'Cenova nabidka ELEKTRO'!$H26*1/(1+L$33),'Cenova nabidka ELEKTRO'!$G26+'Cenova nabidka ELEKTRO'!$H26))</f>
        <v>0</v>
      </c>
      <c r="M27" s="120">
        <f>'NABIDKA DOPRAVCE'!$L30*'Vypocty indexu'!M38*('Cenova nabidka ELEKTRO'!$F26+IF(OR(M$33&lt;SH,M$33&gt;HH),'Cenova nabidka ELEKTRO'!$G26*1/(1+M$33)*IF(NaPoVo=0,0,'Beh smlouvy'!L$8/NaPoVo)+'Cenova nabidka ELEKTRO'!$H26*1/(1+M$33),'Cenova nabidka ELEKTRO'!$G26+'Cenova nabidka ELEKTRO'!$H26))</f>
        <v>0</v>
      </c>
      <c r="N27" s="120">
        <f>'NABIDKA DOPRAVCE'!$L30*'Vypocty indexu'!N38*('Cenova nabidka ELEKTRO'!$F26+IF(OR(N$33&lt;SH,N$33&gt;HH),'Cenova nabidka ELEKTRO'!$G26*1/(1+N$33)*IF(NaPoVo=0,0,'Beh smlouvy'!M$8/NaPoVo)+'Cenova nabidka ELEKTRO'!$H26*1/(1+N$33),'Cenova nabidka ELEKTRO'!$G26+'Cenova nabidka ELEKTRO'!$H26))</f>
        <v>0</v>
      </c>
    </row>
    <row r="28" spans="2:14" ht="12.75" outlineLevel="1">
      <c r="B28" s="56">
        <v>25</v>
      </c>
      <c r="C28" s="47" t="s">
        <v>20</v>
      </c>
      <c r="D28" s="193"/>
      <c r="E28" s="120">
        <f>'NABIDKA DOPRAVCE'!$L31*'Vypocty indexu'!E39*('Cenova nabidka ELEKTRO'!$F27+IF(OR(E$33&lt;SH,E$33&gt;HH),'Cenova nabidka ELEKTRO'!$G27*1/(1+E$33)*IF(NaPoVo=0,0,'Beh smlouvy'!D$8/NaPoVo)+'Cenova nabidka ELEKTRO'!$H27*1/(1+E$33),'Cenova nabidka ELEKTRO'!$G27+'Cenova nabidka ELEKTRO'!$H27))</f>
        <v>0</v>
      </c>
      <c r="F28" s="120">
        <f>'NABIDKA DOPRAVCE'!$L31*'Vypocty indexu'!F39*('Cenova nabidka ELEKTRO'!$F27+IF(OR(F$33&lt;SH,F$33&gt;HH),'Cenova nabidka ELEKTRO'!$G27*1/(1+F$33)*IF(NaPoVo=0,0,'Beh smlouvy'!E$8/NaPoVo)+'Cenova nabidka ELEKTRO'!$H27*1/(1+F$33),'Cenova nabidka ELEKTRO'!$G27+'Cenova nabidka ELEKTRO'!$H27))</f>
        <v>0</v>
      </c>
      <c r="G28" s="120">
        <f>'NABIDKA DOPRAVCE'!$L31*'Vypocty indexu'!G39*('Cenova nabidka ELEKTRO'!$F27+IF(OR(G$33&lt;SH,G$33&gt;HH),'Cenova nabidka ELEKTRO'!$G27*1/(1+G$33)*IF(NaPoVo=0,0,'Beh smlouvy'!F$8/NaPoVo)+'Cenova nabidka ELEKTRO'!$H27*1/(1+G$33),'Cenova nabidka ELEKTRO'!$G27+'Cenova nabidka ELEKTRO'!$H27))</f>
        <v>0</v>
      </c>
      <c r="H28" s="120">
        <f>'NABIDKA DOPRAVCE'!$L31*'Vypocty indexu'!H39*('Cenova nabidka ELEKTRO'!$F27+IF(OR(H$33&lt;SH,H$33&gt;HH),'Cenova nabidka ELEKTRO'!$G27*1/(1+H$33)*IF(NaPoVo=0,0,'Beh smlouvy'!G$8/NaPoVo)+'Cenova nabidka ELEKTRO'!$H27*1/(1+H$33),'Cenova nabidka ELEKTRO'!$G27+'Cenova nabidka ELEKTRO'!$H27))</f>
        <v>0</v>
      </c>
      <c r="I28" s="120">
        <f>'NABIDKA DOPRAVCE'!$L31*'Vypocty indexu'!I39*('Cenova nabidka ELEKTRO'!$F27+IF(OR(I$33&lt;SH,I$33&gt;HH),'Cenova nabidka ELEKTRO'!$G27*1/(1+I$33)*IF(NaPoVo=0,0,'Beh smlouvy'!H$8/NaPoVo)+'Cenova nabidka ELEKTRO'!$H27*1/(1+I$33),'Cenova nabidka ELEKTRO'!$G27+'Cenova nabidka ELEKTRO'!$H27))</f>
        <v>0</v>
      </c>
      <c r="J28" s="120">
        <f>'NABIDKA DOPRAVCE'!$L31*'Vypocty indexu'!J39*('Cenova nabidka ELEKTRO'!$F27+IF(OR(J$33&lt;SH,J$33&gt;HH),'Cenova nabidka ELEKTRO'!$G27*1/(1+J$33)*IF(NaPoVo=0,0,'Beh smlouvy'!I$8/NaPoVo)+'Cenova nabidka ELEKTRO'!$H27*1/(1+J$33),'Cenova nabidka ELEKTRO'!$G27+'Cenova nabidka ELEKTRO'!$H27))</f>
        <v>0</v>
      </c>
      <c r="K28" s="120">
        <f>'NABIDKA DOPRAVCE'!$L31*'Vypocty indexu'!K39*('Cenova nabidka ELEKTRO'!$F27+IF(OR(K$33&lt;SH,K$33&gt;HH),'Cenova nabidka ELEKTRO'!$G27*1/(1+K$33)*IF(NaPoVo=0,0,'Beh smlouvy'!J$8/NaPoVo)+'Cenova nabidka ELEKTRO'!$H27*1/(1+K$33),'Cenova nabidka ELEKTRO'!$G27+'Cenova nabidka ELEKTRO'!$H27))</f>
        <v>0</v>
      </c>
      <c r="L28" s="120">
        <f>'NABIDKA DOPRAVCE'!$L31*'Vypocty indexu'!L39*('Cenova nabidka ELEKTRO'!$F27+IF(OR(L$33&lt;SH,L$33&gt;HH),'Cenova nabidka ELEKTRO'!$G27*1/(1+L$33)*IF(NaPoVo=0,0,'Beh smlouvy'!K$8/NaPoVo)+'Cenova nabidka ELEKTRO'!$H27*1/(1+L$33),'Cenova nabidka ELEKTRO'!$G27+'Cenova nabidka ELEKTRO'!$H27))</f>
        <v>0</v>
      </c>
      <c r="M28" s="120">
        <f>'NABIDKA DOPRAVCE'!$L31*'Vypocty indexu'!M39*('Cenova nabidka ELEKTRO'!$F27+IF(OR(M$33&lt;SH,M$33&gt;HH),'Cenova nabidka ELEKTRO'!$G27*1/(1+M$33)*IF(NaPoVo=0,0,'Beh smlouvy'!L$8/NaPoVo)+'Cenova nabidka ELEKTRO'!$H27*1/(1+M$33),'Cenova nabidka ELEKTRO'!$G27+'Cenova nabidka ELEKTRO'!$H27))</f>
        <v>0</v>
      </c>
      <c r="N28" s="120">
        <f>'NABIDKA DOPRAVCE'!$L31*'Vypocty indexu'!N39*('Cenova nabidka ELEKTRO'!$F27+IF(OR(N$33&lt;SH,N$33&gt;HH),'Cenova nabidka ELEKTRO'!$G27*1/(1+N$33)*IF(NaPoVo=0,0,'Beh smlouvy'!M$8/NaPoVo)+'Cenova nabidka ELEKTRO'!$H27*1/(1+N$33),'Cenova nabidka ELEKTRO'!$G27+'Cenova nabidka ELEKTRO'!$H27))</f>
        <v>0</v>
      </c>
    </row>
    <row r="29" spans="2:14" ht="12.75" outlineLevel="1">
      <c r="B29" s="67"/>
      <c r="C29" s="47"/>
      <c r="D29" s="193"/>
      <c r="E29" s="120"/>
      <c r="F29" s="120"/>
      <c r="G29" s="120"/>
      <c r="H29" s="120"/>
      <c r="I29" s="120"/>
      <c r="J29" s="120"/>
      <c r="K29" s="120"/>
      <c r="L29" s="120"/>
      <c r="M29" s="120"/>
      <c r="N29" s="120"/>
    </row>
    <row r="30" spans="2:14" ht="12.75" outlineLevel="1">
      <c r="B30" s="56">
        <v>97</v>
      </c>
      <c r="C30" s="47" t="s">
        <v>84</v>
      </c>
      <c r="D30" s="193"/>
      <c r="E30" s="120">
        <f>'NABIDKA DOPRAVCE'!$L33*'Vypocty indexu'!E41*('Cenova nabidka ELEKTRO'!$F29+IF(OR(E$33&lt;SH,E$33&gt;HH),'Cenova nabidka ELEKTRO'!$G29*1/(1+E$33)*IF(NaPoVo=0,0,'Beh smlouvy'!D$8/NaPoVo)+'Cenova nabidka ELEKTRO'!$H29*1/(1+E$33),'Cenova nabidka ELEKTRO'!$G29+'Cenova nabidka ELEKTRO'!$H29))</f>
        <v>0</v>
      </c>
      <c r="F30" s="120">
        <f>'NABIDKA DOPRAVCE'!$L33*'Vypocty indexu'!F41*('Cenova nabidka ELEKTRO'!$F29+IF(OR(F$33&lt;SH,F$33&gt;HH),'Cenova nabidka ELEKTRO'!$G29*1/(1+F$33)*IF(NaPoVo=0,0,'Beh smlouvy'!E$8/NaPoVo)+'Cenova nabidka ELEKTRO'!$H29*1/(1+F$33),'Cenova nabidka ELEKTRO'!$G29+'Cenova nabidka ELEKTRO'!$H29))</f>
        <v>0</v>
      </c>
      <c r="G30" s="120">
        <f>'NABIDKA DOPRAVCE'!$L33*'Vypocty indexu'!G41*('Cenova nabidka ELEKTRO'!$F29+IF(OR(G$33&lt;SH,G$33&gt;HH),'Cenova nabidka ELEKTRO'!$G29*1/(1+G$33)*IF(NaPoVo=0,0,'Beh smlouvy'!F$8/NaPoVo)+'Cenova nabidka ELEKTRO'!$H29*1/(1+G$33),'Cenova nabidka ELEKTRO'!$G29+'Cenova nabidka ELEKTRO'!$H29))</f>
        <v>0</v>
      </c>
      <c r="H30" s="120">
        <f>'NABIDKA DOPRAVCE'!$L33*'Vypocty indexu'!H41*('Cenova nabidka ELEKTRO'!$F29+IF(OR(H$33&lt;SH,H$33&gt;HH),'Cenova nabidka ELEKTRO'!$G29*1/(1+H$33)*IF(NaPoVo=0,0,'Beh smlouvy'!G$8/NaPoVo)+'Cenova nabidka ELEKTRO'!$H29*1/(1+H$33),'Cenova nabidka ELEKTRO'!$G29+'Cenova nabidka ELEKTRO'!$H29))</f>
        <v>0</v>
      </c>
      <c r="I30" s="120">
        <f>'NABIDKA DOPRAVCE'!$L33*'Vypocty indexu'!I41*('Cenova nabidka ELEKTRO'!$F29+IF(OR(I$33&lt;SH,I$33&gt;HH),'Cenova nabidka ELEKTRO'!$G29*1/(1+I$33)*IF(NaPoVo=0,0,'Beh smlouvy'!H$8/NaPoVo)+'Cenova nabidka ELEKTRO'!$H29*1/(1+I$33),'Cenova nabidka ELEKTRO'!$G29+'Cenova nabidka ELEKTRO'!$H29))</f>
        <v>0</v>
      </c>
      <c r="J30" s="120">
        <f>'NABIDKA DOPRAVCE'!$L33*'Vypocty indexu'!J41*('Cenova nabidka ELEKTRO'!$F29+IF(OR(J$33&lt;SH,J$33&gt;HH),'Cenova nabidka ELEKTRO'!$G29*1/(1+J$33)*IF(NaPoVo=0,0,'Beh smlouvy'!I$8/NaPoVo)+'Cenova nabidka ELEKTRO'!$H29*1/(1+J$33),'Cenova nabidka ELEKTRO'!$G29+'Cenova nabidka ELEKTRO'!$H29))</f>
        <v>0</v>
      </c>
      <c r="K30" s="120">
        <f>'NABIDKA DOPRAVCE'!$L33*'Vypocty indexu'!K41*('Cenova nabidka ELEKTRO'!$F29+IF(OR(K$33&lt;SH,K$33&gt;HH),'Cenova nabidka ELEKTRO'!$G29*1/(1+K$33)*IF(NaPoVo=0,0,'Beh smlouvy'!J$8/NaPoVo)+'Cenova nabidka ELEKTRO'!$H29*1/(1+K$33),'Cenova nabidka ELEKTRO'!$G29+'Cenova nabidka ELEKTRO'!$H29))</f>
        <v>0</v>
      </c>
      <c r="L30" s="120">
        <f>'NABIDKA DOPRAVCE'!$L33*'Vypocty indexu'!L41*('Cenova nabidka ELEKTRO'!$F29+IF(OR(L$33&lt;SH,L$33&gt;HH),'Cenova nabidka ELEKTRO'!$G29*1/(1+L$33)*IF(NaPoVo=0,0,'Beh smlouvy'!K$8/NaPoVo)+'Cenova nabidka ELEKTRO'!$H29*1/(1+L$33),'Cenova nabidka ELEKTRO'!$G29+'Cenova nabidka ELEKTRO'!$H29))</f>
        <v>0</v>
      </c>
      <c r="M30" s="120">
        <f>'NABIDKA DOPRAVCE'!$L33*'Vypocty indexu'!M41*('Cenova nabidka ELEKTRO'!$F29+IF(OR(M$33&lt;SH,M$33&gt;HH),'Cenova nabidka ELEKTRO'!$G29*1/(1+M$33)*IF(NaPoVo=0,0,'Beh smlouvy'!L$8/NaPoVo)+'Cenova nabidka ELEKTRO'!$H29*1/(1+M$33),'Cenova nabidka ELEKTRO'!$G29+'Cenova nabidka ELEKTRO'!$H29))</f>
        <v>0</v>
      </c>
      <c r="N30" s="120">
        <f>'NABIDKA DOPRAVCE'!$L33*'Vypocty indexu'!N41*('Cenova nabidka ELEKTRO'!$F29+IF(OR(N$33&lt;SH,N$33&gt;HH),'Cenova nabidka ELEKTRO'!$G29*1/(1+N$33)*IF(NaPoVo=0,0,'Beh smlouvy'!M$8/NaPoVo)+'Cenova nabidka ELEKTRO'!$H29*1/(1+N$33),'Cenova nabidka ELEKTRO'!$G29+'Cenova nabidka ELEKTRO'!$H29))</f>
        <v>0</v>
      </c>
    </row>
    <row r="31" spans="2:14" ht="12.75" outlineLevel="1">
      <c r="B31" s="56">
        <v>98</v>
      </c>
      <c r="C31" s="47" t="s">
        <v>44</v>
      </c>
      <c r="D31" s="193"/>
      <c r="E31" s="120">
        <f>'NABIDKA DOPRAVCE'!$L34*'Vypocty indexu'!E42*('Cenova nabidka ELEKTRO'!$F30+IF(OR(E$33&lt;SH,E$33&gt;HH),'Cenova nabidka ELEKTRO'!$G30*1/(1+E$33)*IF(NaPoVo=0,0,'Beh smlouvy'!D$8/NaPoVo)+'Cenova nabidka ELEKTRO'!$H30*1/(1+E$33),'Cenova nabidka ELEKTRO'!$G30+'Cenova nabidka ELEKTRO'!$H30))</f>
        <v>0</v>
      </c>
      <c r="F31" s="120">
        <f>'NABIDKA DOPRAVCE'!$L34*'Vypocty indexu'!F42*('Cenova nabidka ELEKTRO'!$F30+IF(OR(F$33&lt;SH,F$33&gt;HH),'Cenova nabidka ELEKTRO'!$G30*1/(1+F$33)*IF(NaPoVo=0,0,'Beh smlouvy'!E$8/NaPoVo)+'Cenova nabidka ELEKTRO'!$H30*1/(1+F$33),'Cenova nabidka ELEKTRO'!$G30+'Cenova nabidka ELEKTRO'!$H30))</f>
        <v>0</v>
      </c>
      <c r="G31" s="120">
        <f>'NABIDKA DOPRAVCE'!$L34*'Vypocty indexu'!G42*('Cenova nabidka ELEKTRO'!$F30+IF(OR(G$33&lt;SH,G$33&gt;HH),'Cenova nabidka ELEKTRO'!$G30*1/(1+G$33)*IF(NaPoVo=0,0,'Beh smlouvy'!F$8/NaPoVo)+'Cenova nabidka ELEKTRO'!$H30*1/(1+G$33),'Cenova nabidka ELEKTRO'!$G30+'Cenova nabidka ELEKTRO'!$H30))</f>
        <v>0</v>
      </c>
      <c r="H31" s="120">
        <f>'NABIDKA DOPRAVCE'!$L34*'Vypocty indexu'!H42*('Cenova nabidka ELEKTRO'!$F30+IF(OR(H$33&lt;SH,H$33&gt;HH),'Cenova nabidka ELEKTRO'!$G30*1/(1+H$33)*IF(NaPoVo=0,0,'Beh smlouvy'!G$8/NaPoVo)+'Cenova nabidka ELEKTRO'!$H30*1/(1+H$33),'Cenova nabidka ELEKTRO'!$G30+'Cenova nabidka ELEKTRO'!$H30))</f>
        <v>0</v>
      </c>
      <c r="I31" s="120">
        <f>'NABIDKA DOPRAVCE'!$L34*'Vypocty indexu'!I42*('Cenova nabidka ELEKTRO'!$F30+IF(OR(I$33&lt;SH,I$33&gt;HH),'Cenova nabidka ELEKTRO'!$G30*1/(1+I$33)*IF(NaPoVo=0,0,'Beh smlouvy'!H$8/NaPoVo)+'Cenova nabidka ELEKTRO'!$H30*1/(1+I$33),'Cenova nabidka ELEKTRO'!$G30+'Cenova nabidka ELEKTRO'!$H30))</f>
        <v>0</v>
      </c>
      <c r="J31" s="120">
        <f>'NABIDKA DOPRAVCE'!$L34*'Vypocty indexu'!J42*('Cenova nabidka ELEKTRO'!$F30+IF(OR(J$33&lt;SH,J$33&gt;HH),'Cenova nabidka ELEKTRO'!$G30*1/(1+J$33)*IF(NaPoVo=0,0,'Beh smlouvy'!I$8/NaPoVo)+'Cenova nabidka ELEKTRO'!$H30*1/(1+J$33),'Cenova nabidka ELEKTRO'!$G30+'Cenova nabidka ELEKTRO'!$H30))</f>
        <v>0</v>
      </c>
      <c r="K31" s="120">
        <f>'NABIDKA DOPRAVCE'!$L34*'Vypocty indexu'!K42*('Cenova nabidka ELEKTRO'!$F30+IF(OR(K$33&lt;SH,K$33&gt;HH),'Cenova nabidka ELEKTRO'!$G30*1/(1+K$33)*IF(NaPoVo=0,0,'Beh smlouvy'!J$8/NaPoVo)+'Cenova nabidka ELEKTRO'!$H30*1/(1+K$33),'Cenova nabidka ELEKTRO'!$G30+'Cenova nabidka ELEKTRO'!$H30))</f>
        <v>0</v>
      </c>
      <c r="L31" s="120">
        <f>'NABIDKA DOPRAVCE'!$L34*'Vypocty indexu'!L42*('Cenova nabidka ELEKTRO'!$F30+IF(OR(L$33&lt;SH,L$33&gt;HH),'Cenova nabidka ELEKTRO'!$G30*1/(1+L$33)*IF(NaPoVo=0,0,'Beh smlouvy'!K$8/NaPoVo)+'Cenova nabidka ELEKTRO'!$H30*1/(1+L$33),'Cenova nabidka ELEKTRO'!$G30+'Cenova nabidka ELEKTRO'!$H30))</f>
        <v>0</v>
      </c>
      <c r="M31" s="120">
        <f>'NABIDKA DOPRAVCE'!$L34*'Vypocty indexu'!M42*('Cenova nabidka ELEKTRO'!$F30+IF(OR(M$33&lt;SH,M$33&gt;HH),'Cenova nabidka ELEKTRO'!$G30*1/(1+M$33)*IF(NaPoVo=0,0,'Beh smlouvy'!L$8/NaPoVo)+'Cenova nabidka ELEKTRO'!$H30*1/(1+M$33),'Cenova nabidka ELEKTRO'!$G30+'Cenova nabidka ELEKTRO'!$H30))</f>
        <v>0</v>
      </c>
      <c r="N31" s="120">
        <f>'NABIDKA DOPRAVCE'!$L34*'Vypocty indexu'!N42*('Cenova nabidka ELEKTRO'!$F30+IF(OR(N$33&lt;SH,N$33&gt;HH),'Cenova nabidka ELEKTRO'!$G30*1/(1+N$33)*IF(NaPoVo=0,0,'Beh smlouvy'!M$8/NaPoVo)+'Cenova nabidka ELEKTRO'!$H30*1/(1+N$33),'Cenova nabidka ELEKTRO'!$G30+'Cenova nabidka ELEKTRO'!$H30))</f>
        <v>0</v>
      </c>
    </row>
    <row r="32" spans="2:14" ht="12.75" outlineLevel="1">
      <c r="B32" s="56">
        <v>99</v>
      </c>
      <c r="C32" s="47" t="s">
        <v>226</v>
      </c>
      <c r="D32" s="193"/>
      <c r="E32" s="120">
        <f>'NABIDKA DOPRAVCE'!$L35*'Vypocty indexu'!E43*('Cenova nabidka ELEKTRO'!$F31+IF(OR(E$33&lt;SH,E$33&gt;HH),'Cenova nabidka ELEKTRO'!$G31*1/(1+E$33)*IF(NaPoVo=0,0,'Beh smlouvy'!D$8/NaPoVo)+'Cenova nabidka ELEKTRO'!$H31*1/(1+E$33),'Cenova nabidka ELEKTRO'!$G31+'Cenova nabidka ELEKTRO'!$H31))</f>
        <v>1.1</v>
      </c>
      <c r="F32" s="120">
        <f>'NABIDKA DOPRAVCE'!$L35*'Vypocty indexu'!F43*('Cenova nabidka ELEKTRO'!$F31+IF(OR(F$33&lt;SH,F$33&gt;HH),'Cenova nabidka ELEKTRO'!$G31*1/(1+F$33)*IF(NaPoVo=0,0,'Beh smlouvy'!E$8/NaPoVo)+'Cenova nabidka ELEKTRO'!$H31*1/(1+F$33),'Cenova nabidka ELEKTRO'!$G31+'Cenova nabidka ELEKTRO'!$H31))</f>
        <v>0</v>
      </c>
      <c r="G32" s="120">
        <f>'NABIDKA DOPRAVCE'!$L35*'Vypocty indexu'!G43*('Cenova nabidka ELEKTRO'!$F31+IF(OR(G$33&lt;SH,G$33&gt;HH),'Cenova nabidka ELEKTRO'!$G31*1/(1+G$33)*IF(NaPoVo=0,0,'Beh smlouvy'!F$8/NaPoVo)+'Cenova nabidka ELEKTRO'!$H31*1/(1+G$33),'Cenova nabidka ELEKTRO'!$G31+'Cenova nabidka ELEKTRO'!$H31))</f>
        <v>0</v>
      </c>
      <c r="H32" s="120">
        <f>'NABIDKA DOPRAVCE'!$L35*'Vypocty indexu'!H43*('Cenova nabidka ELEKTRO'!$F31+IF(OR(H$33&lt;SH,H$33&gt;HH),'Cenova nabidka ELEKTRO'!$G31*1/(1+H$33)*IF(NaPoVo=0,0,'Beh smlouvy'!G$8/NaPoVo)+'Cenova nabidka ELEKTRO'!$H31*1/(1+H$33),'Cenova nabidka ELEKTRO'!$G31+'Cenova nabidka ELEKTRO'!$H31))</f>
        <v>0</v>
      </c>
      <c r="I32" s="120">
        <f>'NABIDKA DOPRAVCE'!$L35*'Vypocty indexu'!I43*('Cenova nabidka ELEKTRO'!$F31+IF(OR(I$33&lt;SH,I$33&gt;HH),'Cenova nabidka ELEKTRO'!$G31*1/(1+I$33)*IF(NaPoVo=0,0,'Beh smlouvy'!H$8/NaPoVo)+'Cenova nabidka ELEKTRO'!$H31*1/(1+I$33),'Cenova nabidka ELEKTRO'!$G31+'Cenova nabidka ELEKTRO'!$H31))</f>
        <v>0</v>
      </c>
      <c r="J32" s="120">
        <f>'NABIDKA DOPRAVCE'!$L35*'Vypocty indexu'!J43*('Cenova nabidka ELEKTRO'!$F31+IF(OR(J$33&lt;SH,J$33&gt;HH),'Cenova nabidka ELEKTRO'!$G31*1/(1+J$33)*IF(NaPoVo=0,0,'Beh smlouvy'!I$8/NaPoVo)+'Cenova nabidka ELEKTRO'!$H31*1/(1+J$33),'Cenova nabidka ELEKTRO'!$G31+'Cenova nabidka ELEKTRO'!$H31))</f>
        <v>0</v>
      </c>
      <c r="K32" s="120">
        <f>'NABIDKA DOPRAVCE'!$L35*'Vypocty indexu'!K43*('Cenova nabidka ELEKTRO'!$F31+IF(OR(K$33&lt;SH,K$33&gt;HH),'Cenova nabidka ELEKTRO'!$G31*1/(1+K$33)*IF(NaPoVo=0,0,'Beh smlouvy'!J$8/NaPoVo)+'Cenova nabidka ELEKTRO'!$H31*1/(1+K$33),'Cenova nabidka ELEKTRO'!$G31+'Cenova nabidka ELEKTRO'!$H31))</f>
        <v>0</v>
      </c>
      <c r="L32" s="120">
        <f>'NABIDKA DOPRAVCE'!$L35*'Vypocty indexu'!L43*('Cenova nabidka ELEKTRO'!$F31+IF(OR(L$33&lt;SH,L$33&gt;HH),'Cenova nabidka ELEKTRO'!$G31*1/(1+L$33)*IF(NaPoVo=0,0,'Beh smlouvy'!K$8/NaPoVo)+'Cenova nabidka ELEKTRO'!$H31*1/(1+L$33),'Cenova nabidka ELEKTRO'!$G31+'Cenova nabidka ELEKTRO'!$H31))</f>
        <v>0</v>
      </c>
      <c r="M32" s="120">
        <f>'NABIDKA DOPRAVCE'!$L35*'Vypocty indexu'!M43*('Cenova nabidka ELEKTRO'!$F31+IF(OR(M$33&lt;SH,M$33&gt;HH),'Cenova nabidka ELEKTRO'!$G31*1/(1+M$33)*IF(NaPoVo=0,0,'Beh smlouvy'!L$8/NaPoVo)+'Cenova nabidka ELEKTRO'!$H31*1/(1+M$33),'Cenova nabidka ELEKTRO'!$G31+'Cenova nabidka ELEKTRO'!$H31))</f>
        <v>0</v>
      </c>
      <c r="N32" s="120">
        <f>'NABIDKA DOPRAVCE'!$L35*'Vypocty indexu'!N43*('Cenova nabidka ELEKTRO'!$F31+IF(OR(N$33&lt;SH,N$33&gt;HH),'Cenova nabidka ELEKTRO'!$G31*1/(1+N$33)*IF(NaPoVo=0,0,'Beh smlouvy'!M$8/NaPoVo)+'Cenova nabidka ELEKTRO'!$H31*1/(1+N$33),'Cenova nabidka ELEKTRO'!$G31+'Cenova nabidka ELEKTRO'!$H31))</f>
        <v>0</v>
      </c>
    </row>
    <row r="33" spans="2:14" ht="12.75" outlineLevel="1">
      <c r="B33" s="68"/>
      <c r="C33" s="47" t="s">
        <v>71</v>
      </c>
      <c r="D33" s="28"/>
      <c r="E33" s="72">
        <f>'Beh smlouvy'!D6</f>
        <v>0</v>
      </c>
      <c r="F33" s="72">
        <f>'Beh smlouvy'!E6</f>
        <v>0</v>
      </c>
      <c r="G33" s="72">
        <f>'Beh smlouvy'!F6</f>
        <v>0</v>
      </c>
      <c r="H33" s="72">
        <f>'Beh smlouvy'!G6</f>
        <v>0</v>
      </c>
      <c r="I33" s="72">
        <f>'Beh smlouvy'!H6</f>
        <v>0</v>
      </c>
      <c r="J33" s="72">
        <f>'Beh smlouvy'!I6</f>
        <v>0</v>
      </c>
      <c r="K33" s="72">
        <f>'Beh smlouvy'!J6</f>
        <v>0</v>
      </c>
      <c r="L33" s="72">
        <f>'Beh smlouvy'!K6</f>
        <v>0</v>
      </c>
      <c r="M33" s="72">
        <f>'Beh smlouvy'!L6</f>
        <v>0</v>
      </c>
      <c r="N33" s="72">
        <f>'Beh smlouvy'!M6</f>
        <v>0</v>
      </c>
    </row>
    <row r="34" spans="2:15" s="11" customFormat="1" ht="12.75">
      <c r="B34" s="190"/>
      <c r="C34" s="63" t="s">
        <v>106</v>
      </c>
      <c r="D34" s="193"/>
      <c r="E34" s="119">
        <f>ROUND(SUM(E8:E32),2)</f>
        <v>1.13</v>
      </c>
      <c r="F34" s="119">
        <f aca="true" t="shared" si="1" ref="F34:N34">ROUND(SUM(F8:F32),2)</f>
        <v>0</v>
      </c>
      <c r="G34" s="119">
        <f t="shared" si="1"/>
        <v>0</v>
      </c>
      <c r="H34" s="119">
        <f t="shared" si="1"/>
        <v>0</v>
      </c>
      <c r="I34" s="119">
        <f t="shared" si="1"/>
        <v>0</v>
      </c>
      <c r="J34" s="119">
        <f t="shared" si="1"/>
        <v>0</v>
      </c>
      <c r="K34" s="119">
        <f t="shared" si="1"/>
        <v>0</v>
      </c>
      <c r="L34" s="119">
        <f t="shared" si="1"/>
        <v>0</v>
      </c>
      <c r="M34" s="119">
        <f t="shared" si="1"/>
        <v>0</v>
      </c>
      <c r="N34" s="119">
        <f t="shared" si="1"/>
        <v>0</v>
      </c>
      <c r="O34" s="66"/>
    </row>
    <row r="35" spans="2:15" s="11" customFormat="1" ht="12.75">
      <c r="B35" s="187"/>
      <c r="C35" s="55"/>
      <c r="D35" s="188"/>
      <c r="E35" s="196"/>
      <c r="F35" s="191"/>
      <c r="G35" s="191"/>
      <c r="H35" s="191"/>
      <c r="I35" s="191"/>
      <c r="J35" s="191"/>
      <c r="K35" s="191"/>
      <c r="L35" s="191"/>
      <c r="M35" s="191"/>
      <c r="N35" s="197"/>
      <c r="O35" s="66"/>
    </row>
    <row r="36" spans="2:14" ht="12.75">
      <c r="B36" s="11" t="str">
        <f>'Beh smlouvy'!B19</f>
        <v>Cena Vozokm neujetého Spoje (pokud důvod pro neujetí nebyl na straně Dopravce)</v>
      </c>
      <c r="D36" s="54"/>
      <c r="E36" s="101"/>
      <c r="F36" s="54"/>
      <c r="G36" s="54"/>
      <c r="H36" s="54"/>
      <c r="I36" s="54"/>
      <c r="J36" s="54"/>
      <c r="K36" s="54"/>
      <c r="L36" s="54"/>
      <c r="M36" s="54"/>
      <c r="N36" s="102"/>
    </row>
    <row r="37" spans="2:14" ht="12.75" outlineLevel="1">
      <c r="B37" s="53" t="s">
        <v>35</v>
      </c>
      <c r="C37" s="53" t="s">
        <v>65</v>
      </c>
      <c r="D37" s="54"/>
      <c r="E37" s="84"/>
      <c r="F37" s="186"/>
      <c r="G37" s="186"/>
      <c r="H37" s="186"/>
      <c r="I37" s="186"/>
      <c r="J37" s="186"/>
      <c r="K37" s="186"/>
      <c r="L37" s="186"/>
      <c r="M37" s="186"/>
      <c r="N37" s="195"/>
    </row>
    <row r="38" spans="2:14" ht="12.75" outlineLevel="1">
      <c r="B38" s="56" t="s">
        <v>22</v>
      </c>
      <c r="C38" s="47" t="s">
        <v>125</v>
      </c>
      <c r="D38" s="193"/>
      <c r="E38" s="120">
        <f>'NABIDKA DOPRAVCE'!$L11*'Vypocty indexu'!E19*('Cenova nabidka ELEKTRO'!$G7+'Cenova nabidka ELEKTRO'!$H7)</f>
        <v>0</v>
      </c>
      <c r="F38" s="120">
        <f>'NABIDKA DOPRAVCE'!$L11*'Vypocty indexu'!F19*('Cenova nabidka ELEKTRO'!$G7+'Cenova nabidka ELEKTRO'!$H7)</f>
        <v>0</v>
      </c>
      <c r="G38" s="120">
        <f>'NABIDKA DOPRAVCE'!$L11*'Vypocty indexu'!G19*('Cenova nabidka ELEKTRO'!$G7+'Cenova nabidka ELEKTRO'!$H7)</f>
        <v>0</v>
      </c>
      <c r="H38" s="120">
        <f>'NABIDKA DOPRAVCE'!$L11*'Vypocty indexu'!H19*('Cenova nabidka ELEKTRO'!$G7+'Cenova nabidka ELEKTRO'!$H7)</f>
        <v>0</v>
      </c>
      <c r="I38" s="120">
        <f>'NABIDKA DOPRAVCE'!$L11*'Vypocty indexu'!I19*('Cenova nabidka ELEKTRO'!$G7+'Cenova nabidka ELEKTRO'!$H7)</f>
        <v>0</v>
      </c>
      <c r="J38" s="120">
        <f>'NABIDKA DOPRAVCE'!$L11*'Vypocty indexu'!J19*('Cenova nabidka ELEKTRO'!$G7+'Cenova nabidka ELEKTRO'!$H7)</f>
        <v>0</v>
      </c>
      <c r="K38" s="120">
        <f>'NABIDKA DOPRAVCE'!$L11*'Vypocty indexu'!K19*('Cenova nabidka ELEKTRO'!$G7+'Cenova nabidka ELEKTRO'!$H7)</f>
        <v>0</v>
      </c>
      <c r="L38" s="120">
        <f>'NABIDKA DOPRAVCE'!$L11*'Vypocty indexu'!L19*('Cenova nabidka ELEKTRO'!$G7+'Cenova nabidka ELEKTRO'!$H7)</f>
        <v>0</v>
      </c>
      <c r="M38" s="120">
        <f>'NABIDKA DOPRAVCE'!$L11*'Vypocty indexu'!M19*('Cenova nabidka ELEKTRO'!$G7+'Cenova nabidka ELEKTRO'!$H7)</f>
        <v>0</v>
      </c>
      <c r="N38" s="120">
        <f>'NABIDKA DOPRAVCE'!$L11*'Vypocty indexu'!N19*('Cenova nabidka ELEKTRO'!$G7+'Cenova nabidka ELEKTRO'!$H7)</f>
        <v>0</v>
      </c>
    </row>
    <row r="39" spans="2:14" ht="12.75" outlineLevel="1">
      <c r="B39" s="56" t="s">
        <v>23</v>
      </c>
      <c r="C39" s="47" t="s">
        <v>126</v>
      </c>
      <c r="D39" s="193"/>
      <c r="E39" s="120">
        <f>'NABIDKA DOPRAVCE'!$L12*'Vypocty indexu'!E20*('Cenova nabidka ELEKTRO'!$G8+'Cenova nabidka ELEKTRO'!$H8)</f>
        <v>0</v>
      </c>
      <c r="F39" s="120">
        <f>'NABIDKA DOPRAVCE'!$L12*'Vypocty indexu'!F20*('Cenova nabidka ELEKTRO'!$G8+'Cenova nabidka ELEKTRO'!$H8)</f>
        <v>0</v>
      </c>
      <c r="G39" s="120">
        <f>'NABIDKA DOPRAVCE'!$L12*'Vypocty indexu'!G20*('Cenova nabidka ELEKTRO'!$G8+'Cenova nabidka ELEKTRO'!$H8)</f>
        <v>0</v>
      </c>
      <c r="H39" s="120">
        <f>'NABIDKA DOPRAVCE'!$L12*'Vypocty indexu'!H20*('Cenova nabidka ELEKTRO'!$G8+'Cenova nabidka ELEKTRO'!$H8)</f>
        <v>0</v>
      </c>
      <c r="I39" s="120">
        <f>'NABIDKA DOPRAVCE'!$L12*'Vypocty indexu'!I20*('Cenova nabidka ELEKTRO'!$G8+'Cenova nabidka ELEKTRO'!$H8)</f>
        <v>0</v>
      </c>
      <c r="J39" s="120">
        <f>'NABIDKA DOPRAVCE'!$L12*'Vypocty indexu'!J20*('Cenova nabidka ELEKTRO'!$G8+'Cenova nabidka ELEKTRO'!$H8)</f>
        <v>0</v>
      </c>
      <c r="K39" s="120">
        <f>'NABIDKA DOPRAVCE'!$L12*'Vypocty indexu'!K20*('Cenova nabidka ELEKTRO'!$G8+'Cenova nabidka ELEKTRO'!$H8)</f>
        <v>0</v>
      </c>
      <c r="L39" s="120">
        <f>'NABIDKA DOPRAVCE'!$L12*'Vypocty indexu'!L20*('Cenova nabidka ELEKTRO'!$G8+'Cenova nabidka ELEKTRO'!$H8)</f>
        <v>0</v>
      </c>
      <c r="M39" s="120">
        <f>'NABIDKA DOPRAVCE'!$L12*'Vypocty indexu'!M20*('Cenova nabidka ELEKTRO'!$G8+'Cenova nabidka ELEKTRO'!$H8)</f>
        <v>0</v>
      </c>
      <c r="N39" s="120">
        <f>'NABIDKA DOPRAVCE'!$L12*'Vypocty indexu'!N20*('Cenova nabidka ELEKTRO'!$G8+'Cenova nabidka ELEKTRO'!$H8)</f>
        <v>0</v>
      </c>
    </row>
    <row r="40" spans="2:14" ht="12.75" outlineLevel="1">
      <c r="B40" s="56" t="s">
        <v>24</v>
      </c>
      <c r="C40" s="47" t="s">
        <v>262</v>
      </c>
      <c r="D40" s="193"/>
      <c r="E40" s="120">
        <f>'NABIDKA DOPRAVCE'!$L13*'Vypocty indexu'!E21*('Cenova nabidka ELEKTRO'!$G9+'Cenova nabidka ELEKTRO'!$H9)</f>
        <v>0</v>
      </c>
      <c r="F40" s="120">
        <f>'NABIDKA DOPRAVCE'!$L13*'Vypocty indexu'!F21*('Cenova nabidka ELEKTRO'!$G9+'Cenova nabidka ELEKTRO'!$H9)</f>
        <v>0</v>
      </c>
      <c r="G40" s="120">
        <f>'NABIDKA DOPRAVCE'!$L13*'Vypocty indexu'!G21*('Cenova nabidka ELEKTRO'!$G9+'Cenova nabidka ELEKTRO'!$H9)</f>
        <v>0</v>
      </c>
      <c r="H40" s="120">
        <f>'NABIDKA DOPRAVCE'!$L13*'Vypocty indexu'!H21*('Cenova nabidka ELEKTRO'!$G9+'Cenova nabidka ELEKTRO'!$H9)</f>
        <v>0</v>
      </c>
      <c r="I40" s="120">
        <f>'NABIDKA DOPRAVCE'!$L13*'Vypocty indexu'!I21*('Cenova nabidka ELEKTRO'!$G9+'Cenova nabidka ELEKTRO'!$H9)</f>
        <v>0</v>
      </c>
      <c r="J40" s="120">
        <f>'NABIDKA DOPRAVCE'!$L13*'Vypocty indexu'!J21*('Cenova nabidka ELEKTRO'!$G9+'Cenova nabidka ELEKTRO'!$H9)</f>
        <v>0</v>
      </c>
      <c r="K40" s="120">
        <f>'NABIDKA DOPRAVCE'!$L13*'Vypocty indexu'!K21*('Cenova nabidka ELEKTRO'!$G9+'Cenova nabidka ELEKTRO'!$H9)</f>
        <v>0</v>
      </c>
      <c r="L40" s="120">
        <f>'NABIDKA DOPRAVCE'!$L13*'Vypocty indexu'!L21*('Cenova nabidka ELEKTRO'!$G9+'Cenova nabidka ELEKTRO'!$H9)</f>
        <v>0</v>
      </c>
      <c r="M40" s="120">
        <f>'NABIDKA DOPRAVCE'!$L13*'Vypocty indexu'!M21*('Cenova nabidka ELEKTRO'!$G9+'Cenova nabidka ELEKTRO'!$H9)</f>
        <v>0</v>
      </c>
      <c r="N40" s="120">
        <f>'NABIDKA DOPRAVCE'!$L13*'Vypocty indexu'!N21*('Cenova nabidka ELEKTRO'!$G9+'Cenova nabidka ELEKTRO'!$H9)</f>
        <v>0</v>
      </c>
    </row>
    <row r="41" spans="2:14" ht="12.75" outlineLevel="1">
      <c r="B41" s="56" t="s">
        <v>123</v>
      </c>
      <c r="C41" s="47" t="s">
        <v>127</v>
      </c>
      <c r="D41" s="193"/>
      <c r="E41" s="120">
        <f>'NABIDKA DOPRAVCE'!$L14*'Vypocty indexu'!E22*('Cenova nabidka ELEKTRO'!$G10+'Cenova nabidka ELEKTRO'!$H10)</f>
        <v>0</v>
      </c>
      <c r="F41" s="120">
        <f>'NABIDKA DOPRAVCE'!$L14*'Vypocty indexu'!F22*('Cenova nabidka ELEKTRO'!$G10+'Cenova nabidka ELEKTRO'!$H10)</f>
        <v>0</v>
      </c>
      <c r="G41" s="120">
        <f>'NABIDKA DOPRAVCE'!$L14*'Vypocty indexu'!G22*('Cenova nabidka ELEKTRO'!$G10+'Cenova nabidka ELEKTRO'!$H10)</f>
        <v>0</v>
      </c>
      <c r="H41" s="120">
        <f>'NABIDKA DOPRAVCE'!$L14*'Vypocty indexu'!H22*('Cenova nabidka ELEKTRO'!$G10+'Cenova nabidka ELEKTRO'!$H10)</f>
        <v>0</v>
      </c>
      <c r="I41" s="120">
        <f>'NABIDKA DOPRAVCE'!$L14*'Vypocty indexu'!I22*('Cenova nabidka ELEKTRO'!$G10+'Cenova nabidka ELEKTRO'!$H10)</f>
        <v>0</v>
      </c>
      <c r="J41" s="120">
        <f>'NABIDKA DOPRAVCE'!$L14*'Vypocty indexu'!J22*('Cenova nabidka ELEKTRO'!$G10+'Cenova nabidka ELEKTRO'!$H10)</f>
        <v>0</v>
      </c>
      <c r="K41" s="120">
        <f>'NABIDKA DOPRAVCE'!$L14*'Vypocty indexu'!K22*('Cenova nabidka ELEKTRO'!$G10+'Cenova nabidka ELEKTRO'!$H10)</f>
        <v>0</v>
      </c>
      <c r="L41" s="120">
        <f>'NABIDKA DOPRAVCE'!$L14*'Vypocty indexu'!L22*('Cenova nabidka ELEKTRO'!$G10+'Cenova nabidka ELEKTRO'!$H10)</f>
        <v>0</v>
      </c>
      <c r="M41" s="120">
        <f>'NABIDKA DOPRAVCE'!$L14*'Vypocty indexu'!M22*('Cenova nabidka ELEKTRO'!$G10+'Cenova nabidka ELEKTRO'!$H10)</f>
        <v>0</v>
      </c>
      <c r="N41" s="120">
        <f>'NABIDKA DOPRAVCE'!$L14*'Vypocty indexu'!N22*('Cenova nabidka ELEKTRO'!$G10+'Cenova nabidka ELEKTRO'!$H10)</f>
        <v>0</v>
      </c>
    </row>
    <row r="42" spans="2:14" ht="12.75" outlineLevel="1">
      <c r="B42" s="56">
        <v>12</v>
      </c>
      <c r="C42" s="47" t="s">
        <v>8</v>
      </c>
      <c r="D42" s="193"/>
      <c r="E42" s="120">
        <f>'NABIDKA DOPRAVCE'!$L15*'Vypocty indexu'!E23*('Cenova nabidka ELEKTRO'!$G11+'Cenova nabidka ELEKTRO'!$H11)</f>
        <v>0</v>
      </c>
      <c r="F42" s="120">
        <f>'NABIDKA DOPRAVCE'!$L15*'Vypocty indexu'!F23*('Cenova nabidka ELEKTRO'!$G11+'Cenova nabidka ELEKTRO'!$H11)</f>
        <v>0</v>
      </c>
      <c r="G42" s="120">
        <f>'NABIDKA DOPRAVCE'!$L15*'Vypocty indexu'!G23*('Cenova nabidka ELEKTRO'!$G11+'Cenova nabidka ELEKTRO'!$H11)</f>
        <v>0</v>
      </c>
      <c r="H42" s="120">
        <f>'NABIDKA DOPRAVCE'!$L15*'Vypocty indexu'!H23*('Cenova nabidka ELEKTRO'!$G11+'Cenova nabidka ELEKTRO'!$H11)</f>
        <v>0</v>
      </c>
      <c r="I42" s="120">
        <f>'NABIDKA DOPRAVCE'!$L15*'Vypocty indexu'!I23*('Cenova nabidka ELEKTRO'!$G11+'Cenova nabidka ELEKTRO'!$H11)</f>
        <v>0</v>
      </c>
      <c r="J42" s="120">
        <f>'NABIDKA DOPRAVCE'!$L15*'Vypocty indexu'!J23*('Cenova nabidka ELEKTRO'!$G11+'Cenova nabidka ELEKTRO'!$H11)</f>
        <v>0</v>
      </c>
      <c r="K42" s="120">
        <f>'NABIDKA DOPRAVCE'!$L15*'Vypocty indexu'!K23*('Cenova nabidka ELEKTRO'!$G11+'Cenova nabidka ELEKTRO'!$H11)</f>
        <v>0</v>
      </c>
      <c r="L42" s="120">
        <f>'NABIDKA DOPRAVCE'!$L15*'Vypocty indexu'!L23*('Cenova nabidka ELEKTRO'!$G11+'Cenova nabidka ELEKTRO'!$H11)</f>
        <v>0</v>
      </c>
      <c r="M42" s="120">
        <f>'NABIDKA DOPRAVCE'!$L15*'Vypocty indexu'!M23*('Cenova nabidka ELEKTRO'!$G11+'Cenova nabidka ELEKTRO'!$H11)</f>
        <v>0</v>
      </c>
      <c r="N42" s="120">
        <f>'NABIDKA DOPRAVCE'!$L15*'Vypocty indexu'!N23*('Cenova nabidka ELEKTRO'!$G11+'Cenova nabidka ELEKTRO'!$H11)</f>
        <v>0</v>
      </c>
    </row>
    <row r="43" spans="2:14" ht="12.75" outlineLevel="1">
      <c r="B43" s="56">
        <v>13</v>
      </c>
      <c r="C43" s="47" t="s">
        <v>9</v>
      </c>
      <c r="D43" s="193"/>
      <c r="E43" s="120">
        <f>'NABIDKA DOPRAVCE'!$L16*'Vypocty indexu'!E24*('Cenova nabidka ELEKTRO'!$G12+'Cenova nabidka ELEKTRO'!$H12)</f>
        <v>0</v>
      </c>
      <c r="F43" s="120">
        <f>'NABIDKA DOPRAVCE'!$L16*'Vypocty indexu'!F24*('Cenova nabidka ELEKTRO'!$G12+'Cenova nabidka ELEKTRO'!$H12)</f>
        <v>0</v>
      </c>
      <c r="G43" s="120">
        <f>'NABIDKA DOPRAVCE'!$L16*'Vypocty indexu'!G24*('Cenova nabidka ELEKTRO'!$G12+'Cenova nabidka ELEKTRO'!$H12)</f>
        <v>0</v>
      </c>
      <c r="H43" s="120">
        <f>'NABIDKA DOPRAVCE'!$L16*'Vypocty indexu'!H24*('Cenova nabidka ELEKTRO'!$G12+'Cenova nabidka ELEKTRO'!$H12)</f>
        <v>0</v>
      </c>
      <c r="I43" s="120">
        <f>'NABIDKA DOPRAVCE'!$L16*'Vypocty indexu'!I24*('Cenova nabidka ELEKTRO'!$G12+'Cenova nabidka ELEKTRO'!$H12)</f>
        <v>0</v>
      </c>
      <c r="J43" s="120">
        <f>'NABIDKA DOPRAVCE'!$L16*'Vypocty indexu'!J24*('Cenova nabidka ELEKTRO'!$G12+'Cenova nabidka ELEKTRO'!$H12)</f>
        <v>0</v>
      </c>
      <c r="K43" s="120">
        <f>'NABIDKA DOPRAVCE'!$L16*'Vypocty indexu'!K24*('Cenova nabidka ELEKTRO'!$G12+'Cenova nabidka ELEKTRO'!$H12)</f>
        <v>0</v>
      </c>
      <c r="L43" s="120">
        <f>'NABIDKA DOPRAVCE'!$L16*'Vypocty indexu'!L24*('Cenova nabidka ELEKTRO'!$G12+'Cenova nabidka ELEKTRO'!$H12)</f>
        <v>0</v>
      </c>
      <c r="M43" s="120">
        <f>'NABIDKA DOPRAVCE'!$L16*'Vypocty indexu'!M24*('Cenova nabidka ELEKTRO'!$G12+'Cenova nabidka ELEKTRO'!$H12)</f>
        <v>0</v>
      </c>
      <c r="N43" s="120">
        <f>'NABIDKA DOPRAVCE'!$L16*'Vypocty indexu'!N24*('Cenova nabidka ELEKTRO'!$G12+'Cenova nabidka ELEKTRO'!$H12)</f>
        <v>0</v>
      </c>
    </row>
    <row r="44" spans="2:14" ht="12.75" outlineLevel="1">
      <c r="B44" s="56" t="s">
        <v>28</v>
      </c>
      <c r="C44" s="47" t="s">
        <v>59</v>
      </c>
      <c r="D44" s="193"/>
      <c r="E44" s="120">
        <f>'NABIDKA DOPRAVCE'!$L17*'Vypocty indexu'!E25*('Cenova nabidka ELEKTRO'!$G13+'Cenova nabidka ELEKTRO'!$H13)</f>
        <v>0</v>
      </c>
      <c r="F44" s="120">
        <f>'NABIDKA DOPRAVCE'!$L17*'Vypocty indexu'!F25*('Cenova nabidka ELEKTRO'!$G13+'Cenova nabidka ELEKTRO'!$H13)</f>
        <v>0</v>
      </c>
      <c r="G44" s="120">
        <f>'NABIDKA DOPRAVCE'!$L17*'Vypocty indexu'!G25*('Cenova nabidka ELEKTRO'!$G13+'Cenova nabidka ELEKTRO'!$H13)</f>
        <v>0</v>
      </c>
      <c r="H44" s="120">
        <f>'NABIDKA DOPRAVCE'!$L17*'Vypocty indexu'!H25*('Cenova nabidka ELEKTRO'!$G13+'Cenova nabidka ELEKTRO'!$H13)</f>
        <v>0</v>
      </c>
      <c r="I44" s="120">
        <f>'NABIDKA DOPRAVCE'!$L17*'Vypocty indexu'!I25*('Cenova nabidka ELEKTRO'!$G13+'Cenova nabidka ELEKTRO'!$H13)</f>
        <v>0</v>
      </c>
      <c r="J44" s="120">
        <f>'NABIDKA DOPRAVCE'!$L17*'Vypocty indexu'!J25*('Cenova nabidka ELEKTRO'!$G13+'Cenova nabidka ELEKTRO'!$H13)</f>
        <v>0</v>
      </c>
      <c r="K44" s="120">
        <f>'NABIDKA DOPRAVCE'!$L17*'Vypocty indexu'!K25*('Cenova nabidka ELEKTRO'!$G13+'Cenova nabidka ELEKTRO'!$H13)</f>
        <v>0</v>
      </c>
      <c r="L44" s="120">
        <f>'NABIDKA DOPRAVCE'!$L17*'Vypocty indexu'!L25*('Cenova nabidka ELEKTRO'!$G13+'Cenova nabidka ELEKTRO'!$H13)</f>
        <v>0</v>
      </c>
      <c r="M44" s="120">
        <f>'NABIDKA DOPRAVCE'!$L17*'Vypocty indexu'!M25*('Cenova nabidka ELEKTRO'!$G13+'Cenova nabidka ELEKTRO'!$H13)</f>
        <v>0</v>
      </c>
      <c r="N44" s="120">
        <f>'NABIDKA DOPRAVCE'!$L17*'Vypocty indexu'!N25*('Cenova nabidka ELEKTRO'!$G13+'Cenova nabidka ELEKTRO'!$H13)</f>
        <v>0</v>
      </c>
    </row>
    <row r="45" spans="2:14" ht="12.75" outlineLevel="1">
      <c r="B45" s="56" t="s">
        <v>29</v>
      </c>
      <c r="C45" s="47" t="s">
        <v>60</v>
      </c>
      <c r="D45" s="193"/>
      <c r="E45" s="120">
        <f>'NABIDKA DOPRAVCE'!$L18*'Vypocty indexu'!E26*('Cenova nabidka ELEKTRO'!$G14+'Cenova nabidka ELEKTRO'!$H14)</f>
        <v>0</v>
      </c>
      <c r="F45" s="120">
        <f>'NABIDKA DOPRAVCE'!$L18*'Vypocty indexu'!F26*('Cenova nabidka ELEKTRO'!$G14+'Cenova nabidka ELEKTRO'!$H14)</f>
        <v>0</v>
      </c>
      <c r="G45" s="120">
        <f>'NABIDKA DOPRAVCE'!$L18*'Vypocty indexu'!G26*('Cenova nabidka ELEKTRO'!$G14+'Cenova nabidka ELEKTRO'!$H14)</f>
        <v>0</v>
      </c>
      <c r="H45" s="120">
        <f>'NABIDKA DOPRAVCE'!$L18*'Vypocty indexu'!H26*('Cenova nabidka ELEKTRO'!$G14+'Cenova nabidka ELEKTRO'!$H14)</f>
        <v>0</v>
      </c>
      <c r="I45" s="120">
        <f>'NABIDKA DOPRAVCE'!$L18*'Vypocty indexu'!I26*('Cenova nabidka ELEKTRO'!$G14+'Cenova nabidka ELEKTRO'!$H14)</f>
        <v>0</v>
      </c>
      <c r="J45" s="120">
        <f>'NABIDKA DOPRAVCE'!$L18*'Vypocty indexu'!J26*('Cenova nabidka ELEKTRO'!$G14+'Cenova nabidka ELEKTRO'!$H14)</f>
        <v>0</v>
      </c>
      <c r="K45" s="120">
        <f>'NABIDKA DOPRAVCE'!$L18*'Vypocty indexu'!K26*('Cenova nabidka ELEKTRO'!$G14+'Cenova nabidka ELEKTRO'!$H14)</f>
        <v>0</v>
      </c>
      <c r="L45" s="120">
        <f>'NABIDKA DOPRAVCE'!$L18*'Vypocty indexu'!L26*('Cenova nabidka ELEKTRO'!$G14+'Cenova nabidka ELEKTRO'!$H14)</f>
        <v>0</v>
      </c>
      <c r="M45" s="120">
        <f>'NABIDKA DOPRAVCE'!$L18*'Vypocty indexu'!M26*('Cenova nabidka ELEKTRO'!$G14+'Cenova nabidka ELEKTRO'!$H14)</f>
        <v>0</v>
      </c>
      <c r="N45" s="120">
        <f>'NABIDKA DOPRAVCE'!$L18*'Vypocty indexu'!N26*('Cenova nabidka ELEKTRO'!$G14+'Cenova nabidka ELEKTRO'!$H14)</f>
        <v>0</v>
      </c>
    </row>
    <row r="46" spans="2:14" ht="12.75" outlineLevel="1">
      <c r="B46" s="56">
        <v>15</v>
      </c>
      <c r="C46" s="47" t="s">
        <v>42</v>
      </c>
      <c r="D46" s="193"/>
      <c r="E46" s="120">
        <f>'NABIDKA DOPRAVCE'!$L19*'Vypocty indexu'!E27*('Cenova nabidka ELEKTRO'!$G15+'Cenova nabidka ELEKTRO'!$H15)</f>
        <v>0</v>
      </c>
      <c r="F46" s="120">
        <f>'NABIDKA DOPRAVCE'!$L19*'Vypocty indexu'!F27*('Cenova nabidka ELEKTRO'!$G15+'Cenova nabidka ELEKTRO'!$H15)</f>
        <v>0</v>
      </c>
      <c r="G46" s="120">
        <f>'NABIDKA DOPRAVCE'!$L19*'Vypocty indexu'!G27*('Cenova nabidka ELEKTRO'!$G15+'Cenova nabidka ELEKTRO'!$H15)</f>
        <v>0</v>
      </c>
      <c r="H46" s="120">
        <f>'NABIDKA DOPRAVCE'!$L19*'Vypocty indexu'!H27*('Cenova nabidka ELEKTRO'!$G15+'Cenova nabidka ELEKTRO'!$H15)</f>
        <v>0</v>
      </c>
      <c r="I46" s="120">
        <f>'NABIDKA DOPRAVCE'!$L19*'Vypocty indexu'!I27*('Cenova nabidka ELEKTRO'!$G15+'Cenova nabidka ELEKTRO'!$H15)</f>
        <v>0</v>
      </c>
      <c r="J46" s="120">
        <f>'NABIDKA DOPRAVCE'!$L19*'Vypocty indexu'!J27*('Cenova nabidka ELEKTRO'!$G15+'Cenova nabidka ELEKTRO'!$H15)</f>
        <v>0</v>
      </c>
      <c r="K46" s="120">
        <f>'NABIDKA DOPRAVCE'!$L19*'Vypocty indexu'!K27*('Cenova nabidka ELEKTRO'!$G15+'Cenova nabidka ELEKTRO'!$H15)</f>
        <v>0</v>
      </c>
      <c r="L46" s="120">
        <f>'NABIDKA DOPRAVCE'!$L19*'Vypocty indexu'!L27*('Cenova nabidka ELEKTRO'!$G15+'Cenova nabidka ELEKTRO'!$H15)</f>
        <v>0</v>
      </c>
      <c r="M46" s="120">
        <f>'NABIDKA DOPRAVCE'!$L19*'Vypocty indexu'!M27*('Cenova nabidka ELEKTRO'!$G15+'Cenova nabidka ELEKTRO'!$H15)</f>
        <v>0</v>
      </c>
      <c r="N46" s="120">
        <f>'NABIDKA DOPRAVCE'!$L19*'Vypocty indexu'!N27*('Cenova nabidka ELEKTRO'!$G15+'Cenova nabidka ELEKTRO'!$H15)</f>
        <v>0</v>
      </c>
    </row>
    <row r="47" spans="2:14" ht="12.75" outlineLevel="1">
      <c r="B47" s="56" t="s">
        <v>30</v>
      </c>
      <c r="C47" s="47" t="s">
        <v>61</v>
      </c>
      <c r="D47" s="193"/>
      <c r="E47" s="120">
        <f>'NABIDKA DOPRAVCE'!$L20*'Vypocty indexu'!E28*('Cenova nabidka ELEKTRO'!$G16+'Cenova nabidka ELEKTRO'!$H16)</f>
        <v>0</v>
      </c>
      <c r="F47" s="120">
        <f>'NABIDKA DOPRAVCE'!$L20*'Vypocty indexu'!F28*('Cenova nabidka ELEKTRO'!$G16+'Cenova nabidka ELEKTRO'!$H16)</f>
        <v>0</v>
      </c>
      <c r="G47" s="120">
        <f>'NABIDKA DOPRAVCE'!$L20*'Vypocty indexu'!G28*('Cenova nabidka ELEKTRO'!$G16+'Cenova nabidka ELEKTRO'!$H16)</f>
        <v>0</v>
      </c>
      <c r="H47" s="120">
        <f>'NABIDKA DOPRAVCE'!$L20*'Vypocty indexu'!H28*('Cenova nabidka ELEKTRO'!$G16+'Cenova nabidka ELEKTRO'!$H16)</f>
        <v>0</v>
      </c>
      <c r="I47" s="120">
        <f>'NABIDKA DOPRAVCE'!$L20*'Vypocty indexu'!I28*('Cenova nabidka ELEKTRO'!$G16+'Cenova nabidka ELEKTRO'!$H16)</f>
        <v>0</v>
      </c>
      <c r="J47" s="120">
        <f>'NABIDKA DOPRAVCE'!$L20*'Vypocty indexu'!J28*('Cenova nabidka ELEKTRO'!$G16+'Cenova nabidka ELEKTRO'!$H16)</f>
        <v>0</v>
      </c>
      <c r="K47" s="120">
        <f>'NABIDKA DOPRAVCE'!$L20*'Vypocty indexu'!K28*('Cenova nabidka ELEKTRO'!$G16+'Cenova nabidka ELEKTRO'!$H16)</f>
        <v>0</v>
      </c>
      <c r="L47" s="120">
        <f>'NABIDKA DOPRAVCE'!$L20*'Vypocty indexu'!L28*('Cenova nabidka ELEKTRO'!$G16+'Cenova nabidka ELEKTRO'!$H16)</f>
        <v>0</v>
      </c>
      <c r="M47" s="120">
        <f>'NABIDKA DOPRAVCE'!$L20*'Vypocty indexu'!M28*('Cenova nabidka ELEKTRO'!$G16+'Cenova nabidka ELEKTRO'!$H16)</f>
        <v>0</v>
      </c>
      <c r="N47" s="120">
        <f>'NABIDKA DOPRAVCE'!$L20*'Vypocty indexu'!N28*('Cenova nabidka ELEKTRO'!$G16+'Cenova nabidka ELEKTRO'!$H16)</f>
        <v>0</v>
      </c>
    </row>
    <row r="48" spans="2:14" ht="12.75" outlineLevel="1">
      <c r="B48" s="56" t="s">
        <v>31</v>
      </c>
      <c r="C48" s="47" t="s">
        <v>62</v>
      </c>
      <c r="D48" s="193"/>
      <c r="E48" s="120">
        <f>'NABIDKA DOPRAVCE'!$L21*'Vypocty indexu'!E29*('Cenova nabidka ELEKTRO'!$G17+'Cenova nabidka ELEKTRO'!$H17)</f>
        <v>0</v>
      </c>
      <c r="F48" s="120">
        <f>'NABIDKA DOPRAVCE'!$L21*'Vypocty indexu'!F29*('Cenova nabidka ELEKTRO'!$G17+'Cenova nabidka ELEKTRO'!$H17)</f>
        <v>0</v>
      </c>
      <c r="G48" s="120">
        <f>'NABIDKA DOPRAVCE'!$L21*'Vypocty indexu'!G29*('Cenova nabidka ELEKTRO'!$G17+'Cenova nabidka ELEKTRO'!$H17)</f>
        <v>0</v>
      </c>
      <c r="H48" s="120">
        <f>'NABIDKA DOPRAVCE'!$L21*'Vypocty indexu'!H29*('Cenova nabidka ELEKTRO'!$G17+'Cenova nabidka ELEKTRO'!$H17)</f>
        <v>0</v>
      </c>
      <c r="I48" s="120">
        <f>'NABIDKA DOPRAVCE'!$L21*'Vypocty indexu'!I29*('Cenova nabidka ELEKTRO'!$G17+'Cenova nabidka ELEKTRO'!$H17)</f>
        <v>0</v>
      </c>
      <c r="J48" s="120">
        <f>'NABIDKA DOPRAVCE'!$L21*'Vypocty indexu'!J29*('Cenova nabidka ELEKTRO'!$G17+'Cenova nabidka ELEKTRO'!$H17)</f>
        <v>0</v>
      </c>
      <c r="K48" s="120">
        <f>'NABIDKA DOPRAVCE'!$L21*'Vypocty indexu'!K29*('Cenova nabidka ELEKTRO'!$G17+'Cenova nabidka ELEKTRO'!$H17)</f>
        <v>0</v>
      </c>
      <c r="L48" s="120">
        <f>'NABIDKA DOPRAVCE'!$L21*'Vypocty indexu'!L29*('Cenova nabidka ELEKTRO'!$G17+'Cenova nabidka ELEKTRO'!$H17)</f>
        <v>0</v>
      </c>
      <c r="M48" s="120">
        <f>'NABIDKA DOPRAVCE'!$L21*'Vypocty indexu'!M29*('Cenova nabidka ELEKTRO'!$G17+'Cenova nabidka ELEKTRO'!$H17)</f>
        <v>0</v>
      </c>
      <c r="N48" s="120">
        <f>'NABIDKA DOPRAVCE'!$L21*'Vypocty indexu'!N29*('Cenova nabidka ELEKTRO'!$G17+'Cenova nabidka ELEKTRO'!$H17)</f>
        <v>0</v>
      </c>
    </row>
    <row r="49" spans="2:14" ht="12.75" outlineLevel="1">
      <c r="B49" s="56" t="s">
        <v>40</v>
      </c>
      <c r="C49" s="47" t="s">
        <v>63</v>
      </c>
      <c r="D49" s="193"/>
      <c r="E49" s="120">
        <f>'NABIDKA DOPRAVCE'!$L22*'Vypocty indexu'!E30*('Cenova nabidka ELEKTRO'!$G18+'Cenova nabidka ELEKTRO'!$H18)</f>
        <v>0</v>
      </c>
      <c r="F49" s="120">
        <f>'NABIDKA DOPRAVCE'!$L22*'Vypocty indexu'!F30*('Cenova nabidka ELEKTRO'!$G18+'Cenova nabidka ELEKTRO'!$H18)</f>
        <v>0</v>
      </c>
      <c r="G49" s="120">
        <f>'NABIDKA DOPRAVCE'!$L22*'Vypocty indexu'!G30*('Cenova nabidka ELEKTRO'!$G18+'Cenova nabidka ELEKTRO'!$H18)</f>
        <v>0</v>
      </c>
      <c r="H49" s="120">
        <f>'NABIDKA DOPRAVCE'!$L22*'Vypocty indexu'!H30*('Cenova nabidka ELEKTRO'!$G18+'Cenova nabidka ELEKTRO'!$H18)</f>
        <v>0</v>
      </c>
      <c r="I49" s="120">
        <f>'NABIDKA DOPRAVCE'!$L22*'Vypocty indexu'!I30*('Cenova nabidka ELEKTRO'!$G18+'Cenova nabidka ELEKTRO'!$H18)</f>
        <v>0</v>
      </c>
      <c r="J49" s="120">
        <f>'NABIDKA DOPRAVCE'!$L22*'Vypocty indexu'!J30*('Cenova nabidka ELEKTRO'!$G18+'Cenova nabidka ELEKTRO'!$H18)</f>
        <v>0</v>
      </c>
      <c r="K49" s="120">
        <f>'NABIDKA DOPRAVCE'!$L22*'Vypocty indexu'!K30*('Cenova nabidka ELEKTRO'!$G18+'Cenova nabidka ELEKTRO'!$H18)</f>
        <v>0</v>
      </c>
      <c r="L49" s="120">
        <f>'NABIDKA DOPRAVCE'!$L22*'Vypocty indexu'!L30*('Cenova nabidka ELEKTRO'!$G18+'Cenova nabidka ELEKTRO'!$H18)</f>
        <v>0</v>
      </c>
      <c r="M49" s="120">
        <f>'NABIDKA DOPRAVCE'!$L22*'Vypocty indexu'!M30*('Cenova nabidka ELEKTRO'!$G18+'Cenova nabidka ELEKTRO'!$H18)</f>
        <v>0</v>
      </c>
      <c r="N49" s="120">
        <f>'NABIDKA DOPRAVCE'!$L22*'Vypocty indexu'!N30*('Cenova nabidka ELEKTRO'!$G18+'Cenova nabidka ELEKTRO'!$H18)</f>
        <v>0</v>
      </c>
    </row>
    <row r="50" spans="2:14" ht="12.75" outlineLevel="1">
      <c r="B50" s="56" t="s">
        <v>41</v>
      </c>
      <c r="C50" s="47" t="s">
        <v>64</v>
      </c>
      <c r="D50" s="193"/>
      <c r="E50" s="120">
        <f>'NABIDKA DOPRAVCE'!$L23*'Vypocty indexu'!E31*('Cenova nabidka ELEKTRO'!$G19+'Cenova nabidka ELEKTRO'!$H19)</f>
        <v>0</v>
      </c>
      <c r="F50" s="120">
        <f>'NABIDKA DOPRAVCE'!$L23*'Vypocty indexu'!F31*('Cenova nabidka ELEKTRO'!$G19+'Cenova nabidka ELEKTRO'!$H19)</f>
        <v>0</v>
      </c>
      <c r="G50" s="120">
        <f>'NABIDKA DOPRAVCE'!$L23*'Vypocty indexu'!G31*('Cenova nabidka ELEKTRO'!$G19+'Cenova nabidka ELEKTRO'!$H19)</f>
        <v>0</v>
      </c>
      <c r="H50" s="120">
        <f>'NABIDKA DOPRAVCE'!$L23*'Vypocty indexu'!H31*('Cenova nabidka ELEKTRO'!$G19+'Cenova nabidka ELEKTRO'!$H19)</f>
        <v>0</v>
      </c>
      <c r="I50" s="120">
        <f>'NABIDKA DOPRAVCE'!$L23*'Vypocty indexu'!I31*('Cenova nabidka ELEKTRO'!$G19+'Cenova nabidka ELEKTRO'!$H19)</f>
        <v>0</v>
      </c>
      <c r="J50" s="120">
        <f>'NABIDKA DOPRAVCE'!$L23*'Vypocty indexu'!J31*('Cenova nabidka ELEKTRO'!$G19+'Cenova nabidka ELEKTRO'!$H19)</f>
        <v>0</v>
      </c>
      <c r="K50" s="120">
        <f>'NABIDKA DOPRAVCE'!$L23*'Vypocty indexu'!K31*('Cenova nabidka ELEKTRO'!$G19+'Cenova nabidka ELEKTRO'!$H19)</f>
        <v>0</v>
      </c>
      <c r="L50" s="120">
        <f>'NABIDKA DOPRAVCE'!$L23*'Vypocty indexu'!L31*('Cenova nabidka ELEKTRO'!$G19+'Cenova nabidka ELEKTRO'!$H19)</f>
        <v>0</v>
      </c>
      <c r="M50" s="120">
        <f>'NABIDKA DOPRAVCE'!$L23*'Vypocty indexu'!M31*('Cenova nabidka ELEKTRO'!$G19+'Cenova nabidka ELEKTRO'!$H19)</f>
        <v>0</v>
      </c>
      <c r="N50" s="120">
        <f>'NABIDKA DOPRAVCE'!$L23*'Vypocty indexu'!N31*('Cenova nabidka ELEKTRO'!$G19+'Cenova nabidka ELEKTRO'!$H19)</f>
        <v>0</v>
      </c>
    </row>
    <row r="51" spans="2:14" ht="12.75" outlineLevel="1">
      <c r="B51" s="56">
        <v>18</v>
      </c>
      <c r="C51" s="47" t="s">
        <v>13</v>
      </c>
      <c r="D51" s="193"/>
      <c r="E51" s="120">
        <f>'NABIDKA DOPRAVCE'!$L24*'Vypocty indexu'!E32*('Cenova nabidka ELEKTRO'!$G20+'Cenova nabidka ELEKTRO'!$H20)</f>
        <v>0</v>
      </c>
      <c r="F51" s="120">
        <f>'NABIDKA DOPRAVCE'!$L24*'Vypocty indexu'!F32*('Cenova nabidka ELEKTRO'!$G20+'Cenova nabidka ELEKTRO'!$H20)</f>
        <v>0</v>
      </c>
      <c r="G51" s="120">
        <f>'NABIDKA DOPRAVCE'!$L24*'Vypocty indexu'!G32*('Cenova nabidka ELEKTRO'!$G20+'Cenova nabidka ELEKTRO'!$H20)</f>
        <v>0</v>
      </c>
      <c r="H51" s="120">
        <f>'NABIDKA DOPRAVCE'!$L24*'Vypocty indexu'!H32*('Cenova nabidka ELEKTRO'!$G20+'Cenova nabidka ELEKTRO'!$H20)</f>
        <v>0</v>
      </c>
      <c r="I51" s="120">
        <f>'NABIDKA DOPRAVCE'!$L24*'Vypocty indexu'!I32*('Cenova nabidka ELEKTRO'!$G20+'Cenova nabidka ELEKTRO'!$H20)</f>
        <v>0</v>
      </c>
      <c r="J51" s="120">
        <f>'NABIDKA DOPRAVCE'!$L24*'Vypocty indexu'!J32*('Cenova nabidka ELEKTRO'!$G20+'Cenova nabidka ELEKTRO'!$H20)</f>
        <v>0</v>
      </c>
      <c r="K51" s="120">
        <f>'NABIDKA DOPRAVCE'!$L24*'Vypocty indexu'!K32*('Cenova nabidka ELEKTRO'!$G20+'Cenova nabidka ELEKTRO'!$H20)</f>
        <v>0</v>
      </c>
      <c r="L51" s="120">
        <f>'NABIDKA DOPRAVCE'!$L24*'Vypocty indexu'!L32*('Cenova nabidka ELEKTRO'!$G20+'Cenova nabidka ELEKTRO'!$H20)</f>
        <v>0</v>
      </c>
      <c r="M51" s="120">
        <f>'NABIDKA DOPRAVCE'!$L24*'Vypocty indexu'!M32*('Cenova nabidka ELEKTRO'!$G20+'Cenova nabidka ELEKTRO'!$H20)</f>
        <v>0</v>
      </c>
      <c r="N51" s="120">
        <f>'NABIDKA DOPRAVCE'!$L24*'Vypocty indexu'!N32*('Cenova nabidka ELEKTRO'!$G20+'Cenova nabidka ELEKTRO'!$H20)</f>
        <v>0</v>
      </c>
    </row>
    <row r="52" spans="2:14" ht="12.75" outlineLevel="1">
      <c r="B52" s="56">
        <v>19</v>
      </c>
      <c r="C52" s="47" t="s">
        <v>14</v>
      </c>
      <c r="D52" s="193"/>
      <c r="E52" s="120">
        <f>'NABIDKA DOPRAVCE'!$L25*'Vypocty indexu'!E33*('Cenova nabidka ELEKTRO'!$G21+'Cenova nabidka ELEKTRO'!$H21)</f>
        <v>0</v>
      </c>
      <c r="F52" s="120">
        <f>'NABIDKA DOPRAVCE'!$L25*'Vypocty indexu'!F33*('Cenova nabidka ELEKTRO'!$G21+'Cenova nabidka ELEKTRO'!$H21)</f>
        <v>0</v>
      </c>
      <c r="G52" s="120">
        <f>'NABIDKA DOPRAVCE'!$L25*'Vypocty indexu'!G33*('Cenova nabidka ELEKTRO'!$G21+'Cenova nabidka ELEKTRO'!$H21)</f>
        <v>0</v>
      </c>
      <c r="H52" s="120">
        <f>'NABIDKA DOPRAVCE'!$L25*'Vypocty indexu'!H33*('Cenova nabidka ELEKTRO'!$G21+'Cenova nabidka ELEKTRO'!$H21)</f>
        <v>0</v>
      </c>
      <c r="I52" s="120">
        <f>'NABIDKA DOPRAVCE'!$L25*'Vypocty indexu'!I33*('Cenova nabidka ELEKTRO'!$G21+'Cenova nabidka ELEKTRO'!$H21)</f>
        <v>0</v>
      </c>
      <c r="J52" s="120">
        <f>'NABIDKA DOPRAVCE'!$L25*'Vypocty indexu'!J33*('Cenova nabidka ELEKTRO'!$G21+'Cenova nabidka ELEKTRO'!$H21)</f>
        <v>0</v>
      </c>
      <c r="K52" s="120">
        <f>'NABIDKA DOPRAVCE'!$L25*'Vypocty indexu'!K33*('Cenova nabidka ELEKTRO'!$G21+'Cenova nabidka ELEKTRO'!$H21)</f>
        <v>0</v>
      </c>
      <c r="L52" s="120">
        <f>'NABIDKA DOPRAVCE'!$L25*'Vypocty indexu'!L33*('Cenova nabidka ELEKTRO'!$G21+'Cenova nabidka ELEKTRO'!$H21)</f>
        <v>0</v>
      </c>
      <c r="M52" s="120">
        <f>'NABIDKA DOPRAVCE'!$L25*'Vypocty indexu'!M33*('Cenova nabidka ELEKTRO'!$G21+'Cenova nabidka ELEKTRO'!$H21)</f>
        <v>0</v>
      </c>
      <c r="N52" s="120">
        <f>'NABIDKA DOPRAVCE'!$L25*'Vypocty indexu'!N33*('Cenova nabidka ELEKTRO'!$G21+'Cenova nabidka ELEKTRO'!$H21)</f>
        <v>0</v>
      </c>
    </row>
    <row r="53" spans="2:14" ht="12.75" outlineLevel="1">
      <c r="B53" s="56">
        <v>20</v>
      </c>
      <c r="C53" s="47" t="s">
        <v>15</v>
      </c>
      <c r="D53" s="193"/>
      <c r="E53" s="120">
        <f>'NABIDKA DOPRAVCE'!$L26*'Vypocty indexu'!E34*('Cenova nabidka ELEKTRO'!$G22+'Cenova nabidka ELEKTRO'!$H22)</f>
        <v>0</v>
      </c>
      <c r="F53" s="120">
        <f>'NABIDKA DOPRAVCE'!$L26*'Vypocty indexu'!F34*('Cenova nabidka ELEKTRO'!$G22+'Cenova nabidka ELEKTRO'!$H22)</f>
        <v>0</v>
      </c>
      <c r="G53" s="120">
        <f>'NABIDKA DOPRAVCE'!$L26*'Vypocty indexu'!G34*('Cenova nabidka ELEKTRO'!$G22+'Cenova nabidka ELEKTRO'!$H22)</f>
        <v>0</v>
      </c>
      <c r="H53" s="120">
        <f>'NABIDKA DOPRAVCE'!$L26*'Vypocty indexu'!H34*('Cenova nabidka ELEKTRO'!$G22+'Cenova nabidka ELEKTRO'!$H22)</f>
        <v>0</v>
      </c>
      <c r="I53" s="120">
        <f>'NABIDKA DOPRAVCE'!$L26*'Vypocty indexu'!I34*('Cenova nabidka ELEKTRO'!$G22+'Cenova nabidka ELEKTRO'!$H22)</f>
        <v>0</v>
      </c>
      <c r="J53" s="120">
        <f>'NABIDKA DOPRAVCE'!$L26*'Vypocty indexu'!J34*('Cenova nabidka ELEKTRO'!$G22+'Cenova nabidka ELEKTRO'!$H22)</f>
        <v>0</v>
      </c>
      <c r="K53" s="120">
        <f>'NABIDKA DOPRAVCE'!$L26*'Vypocty indexu'!K34*('Cenova nabidka ELEKTRO'!$G22+'Cenova nabidka ELEKTRO'!$H22)</f>
        <v>0</v>
      </c>
      <c r="L53" s="120">
        <f>'NABIDKA DOPRAVCE'!$L26*'Vypocty indexu'!L34*('Cenova nabidka ELEKTRO'!$G22+'Cenova nabidka ELEKTRO'!$H22)</f>
        <v>0</v>
      </c>
      <c r="M53" s="120">
        <f>'NABIDKA DOPRAVCE'!$L26*'Vypocty indexu'!M34*('Cenova nabidka ELEKTRO'!$G22+'Cenova nabidka ELEKTRO'!$H22)</f>
        <v>0</v>
      </c>
      <c r="N53" s="120">
        <f>'NABIDKA DOPRAVCE'!$L26*'Vypocty indexu'!N34*('Cenova nabidka ELEKTRO'!$G22+'Cenova nabidka ELEKTRO'!$H22)</f>
        <v>0</v>
      </c>
    </row>
    <row r="54" spans="2:14" ht="12.75" outlineLevel="1">
      <c r="B54" s="56">
        <v>21</v>
      </c>
      <c r="C54" s="47" t="s">
        <v>16</v>
      </c>
      <c r="D54" s="193"/>
      <c r="E54" s="120">
        <f>'NABIDKA DOPRAVCE'!$L27*'Vypocty indexu'!E35*('Cenova nabidka ELEKTRO'!$G23+'Cenova nabidka ELEKTRO'!$H23)</f>
        <v>0</v>
      </c>
      <c r="F54" s="120">
        <f>'NABIDKA DOPRAVCE'!$L27*'Vypocty indexu'!F35*('Cenova nabidka ELEKTRO'!$G23+'Cenova nabidka ELEKTRO'!$H23)</f>
        <v>0</v>
      </c>
      <c r="G54" s="120">
        <f>'NABIDKA DOPRAVCE'!$L27*'Vypocty indexu'!G35*('Cenova nabidka ELEKTRO'!$G23+'Cenova nabidka ELEKTRO'!$H23)</f>
        <v>0</v>
      </c>
      <c r="H54" s="120">
        <f>'NABIDKA DOPRAVCE'!$L27*'Vypocty indexu'!H35*('Cenova nabidka ELEKTRO'!$G23+'Cenova nabidka ELEKTRO'!$H23)</f>
        <v>0</v>
      </c>
      <c r="I54" s="120">
        <f>'NABIDKA DOPRAVCE'!$L27*'Vypocty indexu'!I35*('Cenova nabidka ELEKTRO'!$G23+'Cenova nabidka ELEKTRO'!$H23)</f>
        <v>0</v>
      </c>
      <c r="J54" s="120">
        <f>'NABIDKA DOPRAVCE'!$L27*'Vypocty indexu'!J35*('Cenova nabidka ELEKTRO'!$G23+'Cenova nabidka ELEKTRO'!$H23)</f>
        <v>0</v>
      </c>
      <c r="K54" s="120">
        <f>'NABIDKA DOPRAVCE'!$L27*'Vypocty indexu'!K35*('Cenova nabidka ELEKTRO'!$G23+'Cenova nabidka ELEKTRO'!$H23)</f>
        <v>0</v>
      </c>
      <c r="L54" s="120">
        <f>'NABIDKA DOPRAVCE'!$L27*'Vypocty indexu'!L35*('Cenova nabidka ELEKTRO'!$G23+'Cenova nabidka ELEKTRO'!$H23)</f>
        <v>0</v>
      </c>
      <c r="M54" s="120">
        <f>'NABIDKA DOPRAVCE'!$L27*'Vypocty indexu'!M35*('Cenova nabidka ELEKTRO'!$G23+'Cenova nabidka ELEKTRO'!$H23)</f>
        <v>0</v>
      </c>
      <c r="N54" s="120">
        <f>'NABIDKA DOPRAVCE'!$L27*'Vypocty indexu'!N35*('Cenova nabidka ELEKTRO'!$G23+'Cenova nabidka ELEKTRO'!$H23)</f>
        <v>0</v>
      </c>
    </row>
    <row r="55" spans="2:14" ht="12.75" outlineLevel="1">
      <c r="B55" s="56">
        <v>22</v>
      </c>
      <c r="C55" s="47" t="s">
        <v>17</v>
      </c>
      <c r="D55" s="193"/>
      <c r="E55" s="120">
        <f>'NABIDKA DOPRAVCE'!$L28*'Vypocty indexu'!E36*('Cenova nabidka ELEKTRO'!$G24+'Cenova nabidka ELEKTRO'!$H24)</f>
        <v>0</v>
      </c>
      <c r="F55" s="120">
        <f>'NABIDKA DOPRAVCE'!$L28*'Vypocty indexu'!F36*('Cenova nabidka ELEKTRO'!$G24+'Cenova nabidka ELEKTRO'!$H24)</f>
        <v>0</v>
      </c>
      <c r="G55" s="120">
        <f>'NABIDKA DOPRAVCE'!$L28*'Vypocty indexu'!G36*('Cenova nabidka ELEKTRO'!$G24+'Cenova nabidka ELEKTRO'!$H24)</f>
        <v>0</v>
      </c>
      <c r="H55" s="120">
        <f>'NABIDKA DOPRAVCE'!$L28*'Vypocty indexu'!H36*('Cenova nabidka ELEKTRO'!$G24+'Cenova nabidka ELEKTRO'!$H24)</f>
        <v>0</v>
      </c>
      <c r="I55" s="120">
        <f>'NABIDKA DOPRAVCE'!$L28*'Vypocty indexu'!I36*('Cenova nabidka ELEKTRO'!$G24+'Cenova nabidka ELEKTRO'!$H24)</f>
        <v>0</v>
      </c>
      <c r="J55" s="120">
        <f>'NABIDKA DOPRAVCE'!$L28*'Vypocty indexu'!J36*('Cenova nabidka ELEKTRO'!$G24+'Cenova nabidka ELEKTRO'!$H24)</f>
        <v>0</v>
      </c>
      <c r="K55" s="120">
        <f>'NABIDKA DOPRAVCE'!$L28*'Vypocty indexu'!K36*('Cenova nabidka ELEKTRO'!$G24+'Cenova nabidka ELEKTRO'!$H24)</f>
        <v>0</v>
      </c>
      <c r="L55" s="120">
        <f>'NABIDKA DOPRAVCE'!$L28*'Vypocty indexu'!L36*('Cenova nabidka ELEKTRO'!$G24+'Cenova nabidka ELEKTRO'!$H24)</f>
        <v>0</v>
      </c>
      <c r="M55" s="120">
        <f>'NABIDKA DOPRAVCE'!$L28*'Vypocty indexu'!M36*('Cenova nabidka ELEKTRO'!$G24+'Cenova nabidka ELEKTRO'!$H24)</f>
        <v>0</v>
      </c>
      <c r="N55" s="120">
        <f>'NABIDKA DOPRAVCE'!$L28*'Vypocty indexu'!N36*('Cenova nabidka ELEKTRO'!$G24+'Cenova nabidka ELEKTRO'!$H24)</f>
        <v>0</v>
      </c>
    </row>
    <row r="56" spans="2:14" ht="12.75" outlineLevel="1">
      <c r="B56" s="56">
        <v>23</v>
      </c>
      <c r="C56" s="47" t="s">
        <v>18</v>
      </c>
      <c r="D56" s="193"/>
      <c r="E56" s="120">
        <f>'NABIDKA DOPRAVCE'!$L29*'Vypocty indexu'!E37*('Cenova nabidka ELEKTRO'!$G25+'Cenova nabidka ELEKTRO'!$H25)</f>
        <v>0</v>
      </c>
      <c r="F56" s="120">
        <f>'NABIDKA DOPRAVCE'!$L29*'Vypocty indexu'!F37*('Cenova nabidka ELEKTRO'!$G25+'Cenova nabidka ELEKTRO'!$H25)</f>
        <v>0</v>
      </c>
      <c r="G56" s="120">
        <f>'NABIDKA DOPRAVCE'!$L29*'Vypocty indexu'!G37*('Cenova nabidka ELEKTRO'!$G25+'Cenova nabidka ELEKTRO'!$H25)</f>
        <v>0</v>
      </c>
      <c r="H56" s="120">
        <f>'NABIDKA DOPRAVCE'!$L29*'Vypocty indexu'!H37*('Cenova nabidka ELEKTRO'!$G25+'Cenova nabidka ELEKTRO'!$H25)</f>
        <v>0</v>
      </c>
      <c r="I56" s="120">
        <f>'NABIDKA DOPRAVCE'!$L29*'Vypocty indexu'!I37*('Cenova nabidka ELEKTRO'!$G25+'Cenova nabidka ELEKTRO'!$H25)</f>
        <v>0</v>
      </c>
      <c r="J56" s="120">
        <f>'NABIDKA DOPRAVCE'!$L29*'Vypocty indexu'!J37*('Cenova nabidka ELEKTRO'!$G25+'Cenova nabidka ELEKTRO'!$H25)</f>
        <v>0</v>
      </c>
      <c r="K56" s="120">
        <f>'NABIDKA DOPRAVCE'!$L29*'Vypocty indexu'!K37*('Cenova nabidka ELEKTRO'!$G25+'Cenova nabidka ELEKTRO'!$H25)</f>
        <v>0</v>
      </c>
      <c r="L56" s="120">
        <f>'NABIDKA DOPRAVCE'!$L29*'Vypocty indexu'!L37*('Cenova nabidka ELEKTRO'!$G25+'Cenova nabidka ELEKTRO'!$H25)</f>
        <v>0</v>
      </c>
      <c r="M56" s="120">
        <f>'NABIDKA DOPRAVCE'!$L29*'Vypocty indexu'!M37*('Cenova nabidka ELEKTRO'!$G25+'Cenova nabidka ELEKTRO'!$H25)</f>
        <v>0</v>
      </c>
      <c r="N56" s="120">
        <f>'NABIDKA DOPRAVCE'!$L29*'Vypocty indexu'!N37*('Cenova nabidka ELEKTRO'!$G25+'Cenova nabidka ELEKTRO'!$H25)</f>
        <v>0</v>
      </c>
    </row>
    <row r="57" spans="2:14" ht="12.75" outlineLevel="1">
      <c r="B57" s="56">
        <v>24</v>
      </c>
      <c r="C57" s="47" t="s">
        <v>19</v>
      </c>
      <c r="D57" s="193"/>
      <c r="E57" s="120">
        <f>'NABIDKA DOPRAVCE'!$L30*'Vypocty indexu'!E38*('Cenova nabidka ELEKTRO'!$G26+'Cenova nabidka ELEKTRO'!$H26)</f>
        <v>0</v>
      </c>
      <c r="F57" s="120">
        <f>'NABIDKA DOPRAVCE'!$L30*'Vypocty indexu'!F38*('Cenova nabidka ELEKTRO'!$G26+'Cenova nabidka ELEKTRO'!$H26)</f>
        <v>0</v>
      </c>
      <c r="G57" s="120">
        <f>'NABIDKA DOPRAVCE'!$L30*'Vypocty indexu'!G38*('Cenova nabidka ELEKTRO'!$G26+'Cenova nabidka ELEKTRO'!$H26)</f>
        <v>0</v>
      </c>
      <c r="H57" s="120">
        <f>'NABIDKA DOPRAVCE'!$L30*'Vypocty indexu'!H38*('Cenova nabidka ELEKTRO'!$G26+'Cenova nabidka ELEKTRO'!$H26)</f>
        <v>0</v>
      </c>
      <c r="I57" s="120">
        <f>'NABIDKA DOPRAVCE'!$L30*'Vypocty indexu'!I38*('Cenova nabidka ELEKTRO'!$G26+'Cenova nabidka ELEKTRO'!$H26)</f>
        <v>0</v>
      </c>
      <c r="J57" s="120">
        <f>'NABIDKA DOPRAVCE'!$L30*'Vypocty indexu'!J38*('Cenova nabidka ELEKTRO'!$G26+'Cenova nabidka ELEKTRO'!$H26)</f>
        <v>0</v>
      </c>
      <c r="K57" s="120">
        <f>'NABIDKA DOPRAVCE'!$L30*'Vypocty indexu'!K38*('Cenova nabidka ELEKTRO'!$G26+'Cenova nabidka ELEKTRO'!$H26)</f>
        <v>0</v>
      </c>
      <c r="L57" s="120">
        <f>'NABIDKA DOPRAVCE'!$L30*'Vypocty indexu'!L38*('Cenova nabidka ELEKTRO'!$G26+'Cenova nabidka ELEKTRO'!$H26)</f>
        <v>0</v>
      </c>
      <c r="M57" s="120">
        <f>'NABIDKA DOPRAVCE'!$L30*'Vypocty indexu'!M38*('Cenova nabidka ELEKTRO'!$G26+'Cenova nabidka ELEKTRO'!$H26)</f>
        <v>0</v>
      </c>
      <c r="N57" s="120">
        <f>'NABIDKA DOPRAVCE'!$L30*'Vypocty indexu'!N38*('Cenova nabidka ELEKTRO'!$G26+'Cenova nabidka ELEKTRO'!$H26)</f>
        <v>0</v>
      </c>
    </row>
    <row r="58" spans="2:14" ht="12.75" outlineLevel="1">
      <c r="B58" s="56">
        <v>25</v>
      </c>
      <c r="C58" s="47" t="s">
        <v>20</v>
      </c>
      <c r="D58" s="193"/>
      <c r="E58" s="120">
        <f>'NABIDKA DOPRAVCE'!$L31*'Vypocty indexu'!E39*('Cenova nabidka ELEKTRO'!$G27+'Cenova nabidka ELEKTRO'!$H27)</f>
        <v>0</v>
      </c>
      <c r="F58" s="120">
        <f>'NABIDKA DOPRAVCE'!$L31*'Vypocty indexu'!F39*('Cenova nabidka ELEKTRO'!$G27+'Cenova nabidka ELEKTRO'!$H27)</f>
        <v>0</v>
      </c>
      <c r="G58" s="120">
        <f>'NABIDKA DOPRAVCE'!$L31*'Vypocty indexu'!G39*('Cenova nabidka ELEKTRO'!$G27+'Cenova nabidka ELEKTRO'!$H27)</f>
        <v>0</v>
      </c>
      <c r="H58" s="120">
        <f>'NABIDKA DOPRAVCE'!$L31*'Vypocty indexu'!H39*('Cenova nabidka ELEKTRO'!$G27+'Cenova nabidka ELEKTRO'!$H27)</f>
        <v>0</v>
      </c>
      <c r="I58" s="120">
        <f>'NABIDKA DOPRAVCE'!$L31*'Vypocty indexu'!I39*('Cenova nabidka ELEKTRO'!$G27+'Cenova nabidka ELEKTRO'!$H27)</f>
        <v>0</v>
      </c>
      <c r="J58" s="120">
        <f>'NABIDKA DOPRAVCE'!$L31*'Vypocty indexu'!J39*('Cenova nabidka ELEKTRO'!$G27+'Cenova nabidka ELEKTRO'!$H27)</f>
        <v>0</v>
      </c>
      <c r="K58" s="120">
        <f>'NABIDKA DOPRAVCE'!$L31*'Vypocty indexu'!K39*('Cenova nabidka ELEKTRO'!$G27+'Cenova nabidka ELEKTRO'!$H27)</f>
        <v>0</v>
      </c>
      <c r="L58" s="120">
        <f>'NABIDKA DOPRAVCE'!$L31*'Vypocty indexu'!L39*('Cenova nabidka ELEKTRO'!$G27+'Cenova nabidka ELEKTRO'!$H27)</f>
        <v>0</v>
      </c>
      <c r="M58" s="120">
        <f>'NABIDKA DOPRAVCE'!$L31*'Vypocty indexu'!M39*('Cenova nabidka ELEKTRO'!$G27+'Cenova nabidka ELEKTRO'!$H27)</f>
        <v>0</v>
      </c>
      <c r="N58" s="120">
        <f>'NABIDKA DOPRAVCE'!$L31*'Vypocty indexu'!N39*('Cenova nabidka ELEKTRO'!$G27+'Cenova nabidka ELEKTRO'!$H27)</f>
        <v>0</v>
      </c>
    </row>
    <row r="59" spans="2:14" ht="12.75" outlineLevel="1">
      <c r="B59" s="67"/>
      <c r="C59" s="47"/>
      <c r="D59" s="193"/>
      <c r="E59" s="120"/>
      <c r="F59" s="120"/>
      <c r="G59" s="120"/>
      <c r="H59" s="120"/>
      <c r="I59" s="120"/>
      <c r="J59" s="120"/>
      <c r="K59" s="120"/>
      <c r="L59" s="120"/>
      <c r="M59" s="120"/>
      <c r="N59" s="120"/>
    </row>
    <row r="60" spans="2:14" ht="12.75" outlineLevel="1">
      <c r="B60" s="56">
        <v>97</v>
      </c>
      <c r="C60" s="47" t="s">
        <v>84</v>
      </c>
      <c r="D60" s="193"/>
      <c r="E60" s="120">
        <f>'NABIDKA DOPRAVCE'!$L33*'Vypocty indexu'!E41*('Cenova nabidka ELEKTRO'!$G29+'Cenova nabidka ELEKTRO'!$H29)</f>
        <v>0</v>
      </c>
      <c r="F60" s="120">
        <f>'NABIDKA DOPRAVCE'!$L33*'Vypocty indexu'!F41*('Cenova nabidka ELEKTRO'!$G29+'Cenova nabidka ELEKTRO'!$H29)</f>
        <v>0</v>
      </c>
      <c r="G60" s="120">
        <f>'NABIDKA DOPRAVCE'!$L33*'Vypocty indexu'!G41*('Cenova nabidka ELEKTRO'!$G29+'Cenova nabidka ELEKTRO'!$H29)</f>
        <v>0</v>
      </c>
      <c r="H60" s="120">
        <f>'NABIDKA DOPRAVCE'!$L33*'Vypocty indexu'!H41*('Cenova nabidka ELEKTRO'!$G29+'Cenova nabidka ELEKTRO'!$H29)</f>
        <v>0</v>
      </c>
      <c r="I60" s="120">
        <f>'NABIDKA DOPRAVCE'!$L33*'Vypocty indexu'!I41*('Cenova nabidka ELEKTRO'!$G29+'Cenova nabidka ELEKTRO'!$H29)</f>
        <v>0</v>
      </c>
      <c r="J60" s="120">
        <f>'NABIDKA DOPRAVCE'!$L33*'Vypocty indexu'!J41*('Cenova nabidka ELEKTRO'!$G29+'Cenova nabidka ELEKTRO'!$H29)</f>
        <v>0</v>
      </c>
      <c r="K60" s="120">
        <f>'NABIDKA DOPRAVCE'!$L33*'Vypocty indexu'!K41*('Cenova nabidka ELEKTRO'!$G29+'Cenova nabidka ELEKTRO'!$H29)</f>
        <v>0</v>
      </c>
      <c r="L60" s="120">
        <f>'NABIDKA DOPRAVCE'!$L33*'Vypocty indexu'!L41*('Cenova nabidka ELEKTRO'!$G29+'Cenova nabidka ELEKTRO'!$H29)</f>
        <v>0</v>
      </c>
      <c r="M60" s="120">
        <f>'NABIDKA DOPRAVCE'!$L33*'Vypocty indexu'!M41*('Cenova nabidka ELEKTRO'!$G29+'Cenova nabidka ELEKTRO'!$H29)</f>
        <v>0</v>
      </c>
      <c r="N60" s="120">
        <f>'NABIDKA DOPRAVCE'!$L33*'Vypocty indexu'!N41*('Cenova nabidka ELEKTRO'!$G29+'Cenova nabidka ELEKTRO'!$H29)</f>
        <v>0</v>
      </c>
    </row>
    <row r="61" spans="2:14" ht="12.75" outlineLevel="1">
      <c r="B61" s="56">
        <v>98</v>
      </c>
      <c r="C61" s="47" t="s">
        <v>44</v>
      </c>
      <c r="D61" s="193"/>
      <c r="E61" s="120">
        <f>'NABIDKA DOPRAVCE'!$L34*'Vypocty indexu'!E42*('Cenova nabidka ELEKTRO'!$G30+'Cenova nabidka ELEKTRO'!$H30)</f>
        <v>0</v>
      </c>
      <c r="F61" s="120">
        <f>'NABIDKA DOPRAVCE'!$L34*'Vypocty indexu'!F42*('Cenova nabidka ELEKTRO'!$G30+'Cenova nabidka ELEKTRO'!$H30)</f>
        <v>0</v>
      </c>
      <c r="G61" s="120">
        <f>'NABIDKA DOPRAVCE'!$L34*'Vypocty indexu'!G42*('Cenova nabidka ELEKTRO'!$G30+'Cenova nabidka ELEKTRO'!$H30)</f>
        <v>0</v>
      </c>
      <c r="H61" s="120">
        <f>'NABIDKA DOPRAVCE'!$L34*'Vypocty indexu'!H42*('Cenova nabidka ELEKTRO'!$G30+'Cenova nabidka ELEKTRO'!$H30)</f>
        <v>0</v>
      </c>
      <c r="I61" s="120">
        <f>'NABIDKA DOPRAVCE'!$L34*'Vypocty indexu'!I42*('Cenova nabidka ELEKTRO'!$G30+'Cenova nabidka ELEKTRO'!$H30)</f>
        <v>0</v>
      </c>
      <c r="J61" s="120">
        <f>'NABIDKA DOPRAVCE'!$L34*'Vypocty indexu'!J42*('Cenova nabidka ELEKTRO'!$G30+'Cenova nabidka ELEKTRO'!$H30)</f>
        <v>0</v>
      </c>
      <c r="K61" s="120">
        <f>'NABIDKA DOPRAVCE'!$L34*'Vypocty indexu'!K42*('Cenova nabidka ELEKTRO'!$G30+'Cenova nabidka ELEKTRO'!$H30)</f>
        <v>0</v>
      </c>
      <c r="L61" s="120">
        <f>'NABIDKA DOPRAVCE'!$L34*'Vypocty indexu'!L42*('Cenova nabidka ELEKTRO'!$G30+'Cenova nabidka ELEKTRO'!$H30)</f>
        <v>0</v>
      </c>
      <c r="M61" s="120">
        <f>'NABIDKA DOPRAVCE'!$L34*'Vypocty indexu'!M42*('Cenova nabidka ELEKTRO'!$G30+'Cenova nabidka ELEKTRO'!$H30)</f>
        <v>0</v>
      </c>
      <c r="N61" s="120">
        <f>'NABIDKA DOPRAVCE'!$L34*'Vypocty indexu'!N42*('Cenova nabidka ELEKTRO'!$G30+'Cenova nabidka ELEKTRO'!$H30)</f>
        <v>0</v>
      </c>
    </row>
    <row r="62" spans="2:14" ht="12.75" outlineLevel="1">
      <c r="B62" s="56">
        <v>99</v>
      </c>
      <c r="C62" s="47" t="s">
        <v>226</v>
      </c>
      <c r="D62" s="193"/>
      <c r="E62" s="749" t="s">
        <v>228</v>
      </c>
      <c r="F62" s="750"/>
      <c r="G62" s="750"/>
      <c r="H62" s="750"/>
      <c r="I62" s="750"/>
      <c r="J62" s="750"/>
      <c r="K62" s="750"/>
      <c r="L62" s="750"/>
      <c r="M62" s="750"/>
      <c r="N62" s="751"/>
    </row>
    <row r="63" spans="2:15" s="11" customFormat="1" ht="12.75">
      <c r="B63" s="190"/>
      <c r="C63" s="63" t="s">
        <v>106</v>
      </c>
      <c r="D63" s="193"/>
      <c r="E63" s="119">
        <f aca="true" t="shared" si="2" ref="E63:N63">ROUND(SUM(E38:E61),2)</f>
        <v>0</v>
      </c>
      <c r="F63" s="119">
        <f t="shared" si="2"/>
        <v>0</v>
      </c>
      <c r="G63" s="119">
        <f t="shared" si="2"/>
        <v>0</v>
      </c>
      <c r="H63" s="119">
        <f t="shared" si="2"/>
        <v>0</v>
      </c>
      <c r="I63" s="119">
        <f t="shared" si="2"/>
        <v>0</v>
      </c>
      <c r="J63" s="119">
        <f t="shared" si="2"/>
        <v>0</v>
      </c>
      <c r="K63" s="119">
        <f t="shared" si="2"/>
        <v>0</v>
      </c>
      <c r="L63" s="119">
        <f t="shared" si="2"/>
        <v>0</v>
      </c>
      <c r="M63" s="119">
        <f t="shared" si="2"/>
        <v>0</v>
      </c>
      <c r="N63" s="119">
        <f t="shared" si="2"/>
        <v>0</v>
      </c>
      <c r="O63" s="66"/>
    </row>
    <row r="64" spans="2:15" s="11" customFormat="1" ht="12.75">
      <c r="B64" s="187"/>
      <c r="C64" s="55"/>
      <c r="D64" s="188"/>
      <c r="E64" s="198"/>
      <c r="F64" s="189"/>
      <c r="G64" s="189"/>
      <c r="H64" s="189"/>
      <c r="I64" s="189"/>
      <c r="J64" s="189"/>
      <c r="K64" s="189"/>
      <c r="L64" s="189"/>
      <c r="M64" s="189"/>
      <c r="N64" s="199"/>
      <c r="O64" s="66"/>
    </row>
    <row r="65" spans="2:14" ht="12.75" customHeight="1">
      <c r="B65" s="11" t="str">
        <f>'Beh smlouvy'!B26</f>
        <v>Cena za Objížďky (dle Zadavatelem schválené délky objížděk)</v>
      </c>
      <c r="E65" s="101"/>
      <c r="F65" s="54"/>
      <c r="G65" s="54"/>
      <c r="H65" s="54"/>
      <c r="I65" s="54"/>
      <c r="J65" s="54"/>
      <c r="K65" s="54"/>
      <c r="L65" s="54"/>
      <c r="M65" s="54"/>
      <c r="N65" s="102"/>
    </row>
    <row r="66" spans="2:14" ht="12.75" outlineLevel="1">
      <c r="B66" s="53" t="s">
        <v>35</v>
      </c>
      <c r="C66" s="53" t="s">
        <v>65</v>
      </c>
      <c r="D66" s="54"/>
      <c r="E66" s="200"/>
      <c r="F66" s="126"/>
      <c r="G66" s="126"/>
      <c r="H66" s="126"/>
      <c r="I66" s="126"/>
      <c r="J66" s="126"/>
      <c r="K66" s="126"/>
      <c r="L66" s="126"/>
      <c r="M66" s="126"/>
      <c r="N66" s="201"/>
    </row>
    <row r="67" spans="2:14" ht="12.75" outlineLevel="1">
      <c r="B67" s="56" t="s">
        <v>22</v>
      </c>
      <c r="C67" s="47" t="s">
        <v>125</v>
      </c>
      <c r="D67" s="193"/>
      <c r="E67" s="118">
        <f>'NABIDKA DOPRAVCE'!$L11*'Vypocty indexu'!E19*'Cenova nabidka ELEKTRO'!$F7</f>
        <v>0</v>
      </c>
      <c r="F67" s="118">
        <f>'NABIDKA DOPRAVCE'!$L11*'Vypocty indexu'!F19*'Cenova nabidka ELEKTRO'!$F7</f>
        <v>0</v>
      </c>
      <c r="G67" s="118">
        <f>'NABIDKA DOPRAVCE'!$L11*'Vypocty indexu'!G19*'Cenova nabidka ELEKTRO'!$F7</f>
        <v>0</v>
      </c>
      <c r="H67" s="118">
        <f>'NABIDKA DOPRAVCE'!$L11*'Vypocty indexu'!H19*'Cenova nabidka ELEKTRO'!$F7</f>
        <v>0</v>
      </c>
      <c r="I67" s="118">
        <f>'NABIDKA DOPRAVCE'!$L11*'Vypocty indexu'!I19*'Cenova nabidka ELEKTRO'!$F7</f>
        <v>0</v>
      </c>
      <c r="J67" s="118">
        <f>'NABIDKA DOPRAVCE'!$L11*'Vypocty indexu'!J19*'Cenova nabidka ELEKTRO'!$F7</f>
        <v>0</v>
      </c>
      <c r="K67" s="118">
        <f>'NABIDKA DOPRAVCE'!$L11*'Vypocty indexu'!K19*'Cenova nabidka ELEKTRO'!$F7</f>
        <v>0</v>
      </c>
      <c r="L67" s="118">
        <f>'NABIDKA DOPRAVCE'!$L11*'Vypocty indexu'!L19*'Cenova nabidka ELEKTRO'!$F7</f>
        <v>0</v>
      </c>
      <c r="M67" s="118">
        <f>'NABIDKA DOPRAVCE'!$L11*'Vypocty indexu'!M19*'Cenova nabidka ELEKTRO'!$F7</f>
        <v>0</v>
      </c>
      <c r="N67" s="118">
        <f>'NABIDKA DOPRAVCE'!$L11*'Vypocty indexu'!N19*'Cenova nabidka ELEKTRO'!$F7</f>
        <v>0</v>
      </c>
    </row>
    <row r="68" spans="2:14" ht="12.75" outlineLevel="1">
      <c r="B68" s="56" t="s">
        <v>23</v>
      </c>
      <c r="C68" s="47" t="s">
        <v>126</v>
      </c>
      <c r="D68" s="193"/>
      <c r="E68" s="118">
        <f>'NABIDKA DOPRAVCE'!$L12*'Vypocty indexu'!E20*'Cenova nabidka ELEKTRO'!$F8</f>
        <v>0</v>
      </c>
      <c r="F68" s="118">
        <f>'NABIDKA DOPRAVCE'!$L12*'Vypocty indexu'!F20*'Cenova nabidka ELEKTRO'!$F8</f>
        <v>0</v>
      </c>
      <c r="G68" s="118">
        <f>'NABIDKA DOPRAVCE'!$L12*'Vypocty indexu'!G20*'Cenova nabidka ELEKTRO'!$F8</f>
        <v>0</v>
      </c>
      <c r="H68" s="118">
        <f>'NABIDKA DOPRAVCE'!$L12*'Vypocty indexu'!H20*'Cenova nabidka ELEKTRO'!$F8</f>
        <v>0</v>
      </c>
      <c r="I68" s="118">
        <f>'NABIDKA DOPRAVCE'!$L12*'Vypocty indexu'!I20*'Cenova nabidka ELEKTRO'!$F8</f>
        <v>0</v>
      </c>
      <c r="J68" s="118">
        <f>'NABIDKA DOPRAVCE'!$L12*'Vypocty indexu'!J20*'Cenova nabidka ELEKTRO'!$F8</f>
        <v>0</v>
      </c>
      <c r="K68" s="118">
        <f>'NABIDKA DOPRAVCE'!$L12*'Vypocty indexu'!K20*'Cenova nabidka ELEKTRO'!$F8</f>
        <v>0</v>
      </c>
      <c r="L68" s="118">
        <f>'NABIDKA DOPRAVCE'!$L12*'Vypocty indexu'!L20*'Cenova nabidka ELEKTRO'!$F8</f>
        <v>0</v>
      </c>
      <c r="M68" s="118">
        <f>'NABIDKA DOPRAVCE'!$L12*'Vypocty indexu'!M20*'Cenova nabidka ELEKTRO'!$F8</f>
        <v>0</v>
      </c>
      <c r="N68" s="118">
        <f>'NABIDKA DOPRAVCE'!$L12*'Vypocty indexu'!N20*'Cenova nabidka ELEKTRO'!$F8</f>
        <v>0</v>
      </c>
    </row>
    <row r="69" spans="2:14" ht="12.75" outlineLevel="1">
      <c r="B69" s="56" t="s">
        <v>24</v>
      </c>
      <c r="C69" s="47" t="s">
        <v>262</v>
      </c>
      <c r="D69" s="193"/>
      <c r="E69" s="118">
        <f>'NABIDKA DOPRAVCE'!$L13*'Vypocty indexu'!E21*'Cenova nabidka ELEKTRO'!$F9</f>
        <v>0</v>
      </c>
      <c r="F69" s="118">
        <f>'NABIDKA DOPRAVCE'!$L13*'Vypocty indexu'!F21*'Cenova nabidka ELEKTRO'!$F9</f>
        <v>0</v>
      </c>
      <c r="G69" s="118">
        <f>'NABIDKA DOPRAVCE'!$L13*'Vypocty indexu'!G21*'Cenova nabidka ELEKTRO'!$F9</f>
        <v>0</v>
      </c>
      <c r="H69" s="118">
        <f>'NABIDKA DOPRAVCE'!$L13*'Vypocty indexu'!H21*'Cenova nabidka ELEKTRO'!$F9</f>
        <v>0</v>
      </c>
      <c r="I69" s="118">
        <f>'NABIDKA DOPRAVCE'!$L13*'Vypocty indexu'!I21*'Cenova nabidka ELEKTRO'!$F9</f>
        <v>0</v>
      </c>
      <c r="J69" s="118">
        <f>'NABIDKA DOPRAVCE'!$L13*'Vypocty indexu'!J21*'Cenova nabidka ELEKTRO'!$F9</f>
        <v>0</v>
      </c>
      <c r="K69" s="118">
        <f>'NABIDKA DOPRAVCE'!$L13*'Vypocty indexu'!K21*'Cenova nabidka ELEKTRO'!$F9</f>
        <v>0</v>
      </c>
      <c r="L69" s="118">
        <f>'NABIDKA DOPRAVCE'!$L13*'Vypocty indexu'!L21*'Cenova nabidka ELEKTRO'!$F9</f>
        <v>0</v>
      </c>
      <c r="M69" s="118">
        <f>'NABIDKA DOPRAVCE'!$L13*'Vypocty indexu'!M21*'Cenova nabidka ELEKTRO'!$F9</f>
        <v>0</v>
      </c>
      <c r="N69" s="118">
        <f>'NABIDKA DOPRAVCE'!$L13*'Vypocty indexu'!N21*'Cenova nabidka ELEKTRO'!$F9</f>
        <v>0</v>
      </c>
    </row>
    <row r="70" spans="2:14" ht="12.75" outlineLevel="1">
      <c r="B70" s="56" t="s">
        <v>123</v>
      </c>
      <c r="C70" s="47" t="s">
        <v>127</v>
      </c>
      <c r="D70" s="193"/>
      <c r="E70" s="118">
        <f>'NABIDKA DOPRAVCE'!$L14*'Vypocty indexu'!E22*'Cenova nabidka ELEKTRO'!$F10</f>
        <v>0</v>
      </c>
      <c r="F70" s="118">
        <f>'NABIDKA DOPRAVCE'!$L14*'Vypocty indexu'!F22*'Cenova nabidka ELEKTRO'!$F10</f>
        <v>0</v>
      </c>
      <c r="G70" s="118">
        <f>'NABIDKA DOPRAVCE'!$L14*'Vypocty indexu'!G22*'Cenova nabidka ELEKTRO'!$F10</f>
        <v>0</v>
      </c>
      <c r="H70" s="118">
        <f>'NABIDKA DOPRAVCE'!$L14*'Vypocty indexu'!H22*'Cenova nabidka ELEKTRO'!$F10</f>
        <v>0</v>
      </c>
      <c r="I70" s="118">
        <f>'NABIDKA DOPRAVCE'!$L14*'Vypocty indexu'!I22*'Cenova nabidka ELEKTRO'!$F10</f>
        <v>0</v>
      </c>
      <c r="J70" s="118">
        <f>'NABIDKA DOPRAVCE'!$L14*'Vypocty indexu'!J22*'Cenova nabidka ELEKTRO'!$F10</f>
        <v>0</v>
      </c>
      <c r="K70" s="118">
        <f>'NABIDKA DOPRAVCE'!$L14*'Vypocty indexu'!K22*'Cenova nabidka ELEKTRO'!$F10</f>
        <v>0</v>
      </c>
      <c r="L70" s="118">
        <f>'NABIDKA DOPRAVCE'!$L14*'Vypocty indexu'!L22*'Cenova nabidka ELEKTRO'!$F10</f>
        <v>0</v>
      </c>
      <c r="M70" s="118">
        <f>'NABIDKA DOPRAVCE'!$L14*'Vypocty indexu'!M22*'Cenova nabidka ELEKTRO'!$F10</f>
        <v>0</v>
      </c>
      <c r="N70" s="118">
        <f>'NABIDKA DOPRAVCE'!$L14*'Vypocty indexu'!N22*'Cenova nabidka ELEKTRO'!$F10</f>
        <v>0</v>
      </c>
    </row>
    <row r="71" spans="2:14" ht="12.75" outlineLevel="1">
      <c r="B71" s="56">
        <v>12</v>
      </c>
      <c r="C71" s="47" t="s">
        <v>8</v>
      </c>
      <c r="D71" s="193"/>
      <c r="E71" s="118">
        <f>'NABIDKA DOPRAVCE'!$L15*'Vypocty indexu'!E23*'Cenova nabidka ELEKTRO'!$F11</f>
        <v>0</v>
      </c>
      <c r="F71" s="118">
        <f>'NABIDKA DOPRAVCE'!$L15*'Vypocty indexu'!F23*'Cenova nabidka ELEKTRO'!$F11</f>
        <v>0</v>
      </c>
      <c r="G71" s="118">
        <f>'NABIDKA DOPRAVCE'!$L15*'Vypocty indexu'!G23*'Cenova nabidka ELEKTRO'!$F11</f>
        <v>0</v>
      </c>
      <c r="H71" s="118">
        <f>'NABIDKA DOPRAVCE'!$L15*'Vypocty indexu'!H23*'Cenova nabidka ELEKTRO'!$F11</f>
        <v>0</v>
      </c>
      <c r="I71" s="118">
        <f>'NABIDKA DOPRAVCE'!$L15*'Vypocty indexu'!I23*'Cenova nabidka ELEKTRO'!$F11</f>
        <v>0</v>
      </c>
      <c r="J71" s="118">
        <f>'NABIDKA DOPRAVCE'!$L15*'Vypocty indexu'!J23*'Cenova nabidka ELEKTRO'!$F11</f>
        <v>0</v>
      </c>
      <c r="K71" s="118">
        <f>'NABIDKA DOPRAVCE'!$L15*'Vypocty indexu'!K23*'Cenova nabidka ELEKTRO'!$F11</f>
        <v>0</v>
      </c>
      <c r="L71" s="118">
        <f>'NABIDKA DOPRAVCE'!$L15*'Vypocty indexu'!L23*'Cenova nabidka ELEKTRO'!$F11</f>
        <v>0</v>
      </c>
      <c r="M71" s="118">
        <f>'NABIDKA DOPRAVCE'!$L15*'Vypocty indexu'!M23*'Cenova nabidka ELEKTRO'!$F11</f>
        <v>0</v>
      </c>
      <c r="N71" s="118">
        <f>'NABIDKA DOPRAVCE'!$L15*'Vypocty indexu'!N23*'Cenova nabidka ELEKTRO'!$F11</f>
        <v>0</v>
      </c>
    </row>
    <row r="72" spans="2:14" ht="12.75" outlineLevel="1">
      <c r="B72" s="56">
        <v>13</v>
      </c>
      <c r="C72" s="47" t="s">
        <v>9</v>
      </c>
      <c r="D72" s="193"/>
      <c r="E72" s="118">
        <f>'NABIDKA DOPRAVCE'!$L16*'Vypocty indexu'!E24*'Cenova nabidka ELEKTRO'!$F12</f>
        <v>0</v>
      </c>
      <c r="F72" s="118">
        <f>'NABIDKA DOPRAVCE'!$L16*'Vypocty indexu'!F24*'Cenova nabidka ELEKTRO'!$F12</f>
        <v>0</v>
      </c>
      <c r="G72" s="118">
        <f>'NABIDKA DOPRAVCE'!$L16*'Vypocty indexu'!G24*'Cenova nabidka ELEKTRO'!$F12</f>
        <v>0</v>
      </c>
      <c r="H72" s="118">
        <f>'NABIDKA DOPRAVCE'!$L16*'Vypocty indexu'!H24*'Cenova nabidka ELEKTRO'!$F12</f>
        <v>0</v>
      </c>
      <c r="I72" s="118">
        <f>'NABIDKA DOPRAVCE'!$L16*'Vypocty indexu'!I24*'Cenova nabidka ELEKTRO'!$F12</f>
        <v>0</v>
      </c>
      <c r="J72" s="118">
        <f>'NABIDKA DOPRAVCE'!$L16*'Vypocty indexu'!J24*'Cenova nabidka ELEKTRO'!$F12</f>
        <v>0</v>
      </c>
      <c r="K72" s="118">
        <f>'NABIDKA DOPRAVCE'!$L16*'Vypocty indexu'!K24*'Cenova nabidka ELEKTRO'!$F12</f>
        <v>0</v>
      </c>
      <c r="L72" s="118">
        <f>'NABIDKA DOPRAVCE'!$L16*'Vypocty indexu'!L24*'Cenova nabidka ELEKTRO'!$F12</f>
        <v>0</v>
      </c>
      <c r="M72" s="118">
        <f>'NABIDKA DOPRAVCE'!$L16*'Vypocty indexu'!M24*'Cenova nabidka ELEKTRO'!$F12</f>
        <v>0</v>
      </c>
      <c r="N72" s="118">
        <f>'NABIDKA DOPRAVCE'!$L16*'Vypocty indexu'!N24*'Cenova nabidka ELEKTRO'!$F12</f>
        <v>0</v>
      </c>
    </row>
    <row r="73" spans="2:14" ht="12.75" outlineLevel="1">
      <c r="B73" s="56" t="s">
        <v>28</v>
      </c>
      <c r="C73" s="47" t="s">
        <v>59</v>
      </c>
      <c r="D73" s="193"/>
      <c r="E73" s="118">
        <f>'NABIDKA DOPRAVCE'!$L17*'Vypocty indexu'!E25*'Cenova nabidka ELEKTRO'!$F13</f>
        <v>0</v>
      </c>
      <c r="F73" s="118">
        <f>'NABIDKA DOPRAVCE'!$L17*'Vypocty indexu'!F25*'Cenova nabidka ELEKTRO'!$F13</f>
        <v>0</v>
      </c>
      <c r="G73" s="118">
        <f>'NABIDKA DOPRAVCE'!$L17*'Vypocty indexu'!G25*'Cenova nabidka ELEKTRO'!$F13</f>
        <v>0</v>
      </c>
      <c r="H73" s="118">
        <f>'NABIDKA DOPRAVCE'!$L17*'Vypocty indexu'!H25*'Cenova nabidka ELEKTRO'!$F13</f>
        <v>0</v>
      </c>
      <c r="I73" s="118">
        <f>'NABIDKA DOPRAVCE'!$L17*'Vypocty indexu'!I25*'Cenova nabidka ELEKTRO'!$F13</f>
        <v>0</v>
      </c>
      <c r="J73" s="118">
        <f>'NABIDKA DOPRAVCE'!$L17*'Vypocty indexu'!J25*'Cenova nabidka ELEKTRO'!$F13</f>
        <v>0</v>
      </c>
      <c r="K73" s="118">
        <f>'NABIDKA DOPRAVCE'!$L17*'Vypocty indexu'!K25*'Cenova nabidka ELEKTRO'!$F13</f>
        <v>0</v>
      </c>
      <c r="L73" s="118">
        <f>'NABIDKA DOPRAVCE'!$L17*'Vypocty indexu'!L25*'Cenova nabidka ELEKTRO'!$F13</f>
        <v>0</v>
      </c>
      <c r="M73" s="118">
        <f>'NABIDKA DOPRAVCE'!$L17*'Vypocty indexu'!M25*'Cenova nabidka ELEKTRO'!$F13</f>
        <v>0</v>
      </c>
      <c r="N73" s="118">
        <f>'NABIDKA DOPRAVCE'!$L17*'Vypocty indexu'!N25*'Cenova nabidka ELEKTRO'!$F13</f>
        <v>0</v>
      </c>
    </row>
    <row r="74" spans="2:14" ht="12.75" outlineLevel="1">
      <c r="B74" s="56" t="s">
        <v>29</v>
      </c>
      <c r="C74" s="47" t="s">
        <v>60</v>
      </c>
      <c r="D74" s="193"/>
      <c r="E74" s="118">
        <f>'NABIDKA DOPRAVCE'!$L18*'Vypocty indexu'!E26*'Cenova nabidka ELEKTRO'!$F14</f>
        <v>0</v>
      </c>
      <c r="F74" s="118">
        <f>'NABIDKA DOPRAVCE'!$L18*'Vypocty indexu'!F26*'Cenova nabidka ELEKTRO'!$F14</f>
        <v>0</v>
      </c>
      <c r="G74" s="118">
        <f>'NABIDKA DOPRAVCE'!$L18*'Vypocty indexu'!G26*'Cenova nabidka ELEKTRO'!$F14</f>
        <v>0</v>
      </c>
      <c r="H74" s="118">
        <f>'NABIDKA DOPRAVCE'!$L18*'Vypocty indexu'!H26*'Cenova nabidka ELEKTRO'!$F14</f>
        <v>0</v>
      </c>
      <c r="I74" s="118">
        <f>'NABIDKA DOPRAVCE'!$L18*'Vypocty indexu'!I26*'Cenova nabidka ELEKTRO'!$F14</f>
        <v>0</v>
      </c>
      <c r="J74" s="118">
        <f>'NABIDKA DOPRAVCE'!$L18*'Vypocty indexu'!J26*'Cenova nabidka ELEKTRO'!$F14</f>
        <v>0</v>
      </c>
      <c r="K74" s="118">
        <f>'NABIDKA DOPRAVCE'!$L18*'Vypocty indexu'!K26*'Cenova nabidka ELEKTRO'!$F14</f>
        <v>0</v>
      </c>
      <c r="L74" s="118">
        <f>'NABIDKA DOPRAVCE'!$L18*'Vypocty indexu'!L26*'Cenova nabidka ELEKTRO'!$F14</f>
        <v>0</v>
      </c>
      <c r="M74" s="118">
        <f>'NABIDKA DOPRAVCE'!$L18*'Vypocty indexu'!M26*'Cenova nabidka ELEKTRO'!$F14</f>
        <v>0</v>
      </c>
      <c r="N74" s="118">
        <f>'NABIDKA DOPRAVCE'!$L18*'Vypocty indexu'!N26*'Cenova nabidka ELEKTRO'!$F14</f>
        <v>0</v>
      </c>
    </row>
    <row r="75" spans="2:14" ht="12.75" outlineLevel="1">
      <c r="B75" s="56">
        <v>15</v>
      </c>
      <c r="C75" s="47" t="s">
        <v>42</v>
      </c>
      <c r="D75" s="193"/>
      <c r="E75" s="118">
        <f>'NABIDKA DOPRAVCE'!$L19*'Vypocty indexu'!E27*'Cenova nabidka ELEKTRO'!$F15</f>
        <v>0</v>
      </c>
      <c r="F75" s="118">
        <f>'NABIDKA DOPRAVCE'!$L19*'Vypocty indexu'!F27*'Cenova nabidka ELEKTRO'!$F15</f>
        <v>0</v>
      </c>
      <c r="G75" s="118">
        <f>'NABIDKA DOPRAVCE'!$L19*'Vypocty indexu'!G27*'Cenova nabidka ELEKTRO'!$F15</f>
        <v>0</v>
      </c>
      <c r="H75" s="118">
        <f>'NABIDKA DOPRAVCE'!$L19*'Vypocty indexu'!H27*'Cenova nabidka ELEKTRO'!$F15</f>
        <v>0</v>
      </c>
      <c r="I75" s="118">
        <f>'NABIDKA DOPRAVCE'!$L19*'Vypocty indexu'!I27*'Cenova nabidka ELEKTRO'!$F15</f>
        <v>0</v>
      </c>
      <c r="J75" s="118">
        <f>'NABIDKA DOPRAVCE'!$L19*'Vypocty indexu'!J27*'Cenova nabidka ELEKTRO'!$F15</f>
        <v>0</v>
      </c>
      <c r="K75" s="118">
        <f>'NABIDKA DOPRAVCE'!$L19*'Vypocty indexu'!K27*'Cenova nabidka ELEKTRO'!$F15</f>
        <v>0</v>
      </c>
      <c r="L75" s="118">
        <f>'NABIDKA DOPRAVCE'!$L19*'Vypocty indexu'!L27*'Cenova nabidka ELEKTRO'!$F15</f>
        <v>0</v>
      </c>
      <c r="M75" s="118">
        <f>'NABIDKA DOPRAVCE'!$L19*'Vypocty indexu'!M27*'Cenova nabidka ELEKTRO'!$F15</f>
        <v>0</v>
      </c>
      <c r="N75" s="118">
        <f>'NABIDKA DOPRAVCE'!$L19*'Vypocty indexu'!N27*'Cenova nabidka ELEKTRO'!$F15</f>
        <v>0</v>
      </c>
    </row>
    <row r="76" spans="2:14" ht="12.75" outlineLevel="1">
      <c r="B76" s="56" t="s">
        <v>30</v>
      </c>
      <c r="C76" s="47" t="s">
        <v>61</v>
      </c>
      <c r="D76" s="193"/>
      <c r="E76" s="118">
        <f>'NABIDKA DOPRAVCE'!$L20*'Vypocty indexu'!E28*'Cenova nabidka ELEKTRO'!$F16</f>
        <v>0</v>
      </c>
      <c r="F76" s="118">
        <f>'NABIDKA DOPRAVCE'!$L20*'Vypocty indexu'!F28*'Cenova nabidka ELEKTRO'!$F16</f>
        <v>0</v>
      </c>
      <c r="G76" s="118">
        <f>'NABIDKA DOPRAVCE'!$L20*'Vypocty indexu'!G28*'Cenova nabidka ELEKTRO'!$F16</f>
        <v>0</v>
      </c>
      <c r="H76" s="118">
        <f>'NABIDKA DOPRAVCE'!$L20*'Vypocty indexu'!H28*'Cenova nabidka ELEKTRO'!$F16</f>
        <v>0</v>
      </c>
      <c r="I76" s="118">
        <f>'NABIDKA DOPRAVCE'!$L20*'Vypocty indexu'!I28*'Cenova nabidka ELEKTRO'!$F16</f>
        <v>0</v>
      </c>
      <c r="J76" s="118">
        <f>'NABIDKA DOPRAVCE'!$L20*'Vypocty indexu'!J28*'Cenova nabidka ELEKTRO'!$F16</f>
        <v>0</v>
      </c>
      <c r="K76" s="118">
        <f>'NABIDKA DOPRAVCE'!$L20*'Vypocty indexu'!K28*'Cenova nabidka ELEKTRO'!$F16</f>
        <v>0</v>
      </c>
      <c r="L76" s="118">
        <f>'NABIDKA DOPRAVCE'!$L20*'Vypocty indexu'!L28*'Cenova nabidka ELEKTRO'!$F16</f>
        <v>0</v>
      </c>
      <c r="M76" s="118">
        <f>'NABIDKA DOPRAVCE'!$L20*'Vypocty indexu'!M28*'Cenova nabidka ELEKTRO'!$F16</f>
        <v>0</v>
      </c>
      <c r="N76" s="118">
        <f>'NABIDKA DOPRAVCE'!$L20*'Vypocty indexu'!N28*'Cenova nabidka ELEKTRO'!$F16</f>
        <v>0</v>
      </c>
    </row>
    <row r="77" spans="2:14" ht="12.75" outlineLevel="1">
      <c r="B77" s="56" t="s">
        <v>31</v>
      </c>
      <c r="C77" s="47" t="s">
        <v>62</v>
      </c>
      <c r="D77" s="193"/>
      <c r="E77" s="118">
        <f>'NABIDKA DOPRAVCE'!$L21*'Vypocty indexu'!E29*'Cenova nabidka ELEKTRO'!$F17</f>
        <v>0</v>
      </c>
      <c r="F77" s="118">
        <f>'NABIDKA DOPRAVCE'!$L21*'Vypocty indexu'!F29*'Cenova nabidka ELEKTRO'!$F17</f>
        <v>0</v>
      </c>
      <c r="G77" s="118">
        <f>'NABIDKA DOPRAVCE'!$L21*'Vypocty indexu'!G29*'Cenova nabidka ELEKTRO'!$F17</f>
        <v>0</v>
      </c>
      <c r="H77" s="118">
        <f>'NABIDKA DOPRAVCE'!$L21*'Vypocty indexu'!H29*'Cenova nabidka ELEKTRO'!$F17</f>
        <v>0</v>
      </c>
      <c r="I77" s="118">
        <f>'NABIDKA DOPRAVCE'!$L21*'Vypocty indexu'!I29*'Cenova nabidka ELEKTRO'!$F17</f>
        <v>0</v>
      </c>
      <c r="J77" s="118">
        <f>'NABIDKA DOPRAVCE'!$L21*'Vypocty indexu'!J29*'Cenova nabidka ELEKTRO'!$F17</f>
        <v>0</v>
      </c>
      <c r="K77" s="118">
        <f>'NABIDKA DOPRAVCE'!$L21*'Vypocty indexu'!K29*'Cenova nabidka ELEKTRO'!$F17</f>
        <v>0</v>
      </c>
      <c r="L77" s="118">
        <f>'NABIDKA DOPRAVCE'!$L21*'Vypocty indexu'!L29*'Cenova nabidka ELEKTRO'!$F17</f>
        <v>0</v>
      </c>
      <c r="M77" s="118">
        <f>'NABIDKA DOPRAVCE'!$L21*'Vypocty indexu'!M29*'Cenova nabidka ELEKTRO'!$F17</f>
        <v>0</v>
      </c>
      <c r="N77" s="118">
        <f>'NABIDKA DOPRAVCE'!$L21*'Vypocty indexu'!N29*'Cenova nabidka ELEKTRO'!$F17</f>
        <v>0</v>
      </c>
    </row>
    <row r="78" spans="2:14" ht="12.75" outlineLevel="1">
      <c r="B78" s="56" t="s">
        <v>40</v>
      </c>
      <c r="C78" s="47" t="s">
        <v>63</v>
      </c>
      <c r="D78" s="193"/>
      <c r="E78" s="118">
        <f>'NABIDKA DOPRAVCE'!$L22*'Vypocty indexu'!E30*'Cenova nabidka ELEKTRO'!$F18</f>
        <v>0</v>
      </c>
      <c r="F78" s="118">
        <f>'NABIDKA DOPRAVCE'!$L22*'Vypocty indexu'!F30*'Cenova nabidka ELEKTRO'!$F18</f>
        <v>0</v>
      </c>
      <c r="G78" s="118">
        <f>'NABIDKA DOPRAVCE'!$L22*'Vypocty indexu'!G30*'Cenova nabidka ELEKTRO'!$F18</f>
        <v>0</v>
      </c>
      <c r="H78" s="118">
        <f>'NABIDKA DOPRAVCE'!$L22*'Vypocty indexu'!H30*'Cenova nabidka ELEKTRO'!$F18</f>
        <v>0</v>
      </c>
      <c r="I78" s="118">
        <f>'NABIDKA DOPRAVCE'!$L22*'Vypocty indexu'!I30*'Cenova nabidka ELEKTRO'!$F18</f>
        <v>0</v>
      </c>
      <c r="J78" s="118">
        <f>'NABIDKA DOPRAVCE'!$L22*'Vypocty indexu'!J30*'Cenova nabidka ELEKTRO'!$F18</f>
        <v>0</v>
      </c>
      <c r="K78" s="118">
        <f>'NABIDKA DOPRAVCE'!$L22*'Vypocty indexu'!K30*'Cenova nabidka ELEKTRO'!$F18</f>
        <v>0</v>
      </c>
      <c r="L78" s="118">
        <f>'NABIDKA DOPRAVCE'!$L22*'Vypocty indexu'!L30*'Cenova nabidka ELEKTRO'!$F18</f>
        <v>0</v>
      </c>
      <c r="M78" s="118">
        <f>'NABIDKA DOPRAVCE'!$L22*'Vypocty indexu'!M30*'Cenova nabidka ELEKTRO'!$F18</f>
        <v>0</v>
      </c>
      <c r="N78" s="118">
        <f>'NABIDKA DOPRAVCE'!$L22*'Vypocty indexu'!N30*'Cenova nabidka ELEKTRO'!$F18</f>
        <v>0</v>
      </c>
    </row>
    <row r="79" spans="2:14" ht="12.75" outlineLevel="1">
      <c r="B79" s="56" t="s">
        <v>41</v>
      </c>
      <c r="C79" s="47" t="s">
        <v>64</v>
      </c>
      <c r="D79" s="193"/>
      <c r="E79" s="118">
        <f>'NABIDKA DOPRAVCE'!$L23*'Vypocty indexu'!E31*'Cenova nabidka ELEKTRO'!$F19</f>
        <v>0</v>
      </c>
      <c r="F79" s="118">
        <f>'NABIDKA DOPRAVCE'!$L23*'Vypocty indexu'!F31*'Cenova nabidka ELEKTRO'!$F19</f>
        <v>0</v>
      </c>
      <c r="G79" s="118">
        <f>'NABIDKA DOPRAVCE'!$L23*'Vypocty indexu'!G31*'Cenova nabidka ELEKTRO'!$F19</f>
        <v>0</v>
      </c>
      <c r="H79" s="118">
        <f>'NABIDKA DOPRAVCE'!$L23*'Vypocty indexu'!H31*'Cenova nabidka ELEKTRO'!$F19</f>
        <v>0</v>
      </c>
      <c r="I79" s="118">
        <f>'NABIDKA DOPRAVCE'!$L23*'Vypocty indexu'!I31*'Cenova nabidka ELEKTRO'!$F19</f>
        <v>0</v>
      </c>
      <c r="J79" s="118">
        <f>'NABIDKA DOPRAVCE'!$L23*'Vypocty indexu'!J31*'Cenova nabidka ELEKTRO'!$F19</f>
        <v>0</v>
      </c>
      <c r="K79" s="118">
        <f>'NABIDKA DOPRAVCE'!$L23*'Vypocty indexu'!K31*'Cenova nabidka ELEKTRO'!$F19</f>
        <v>0</v>
      </c>
      <c r="L79" s="118">
        <f>'NABIDKA DOPRAVCE'!$L23*'Vypocty indexu'!L31*'Cenova nabidka ELEKTRO'!$F19</f>
        <v>0</v>
      </c>
      <c r="M79" s="118">
        <f>'NABIDKA DOPRAVCE'!$L23*'Vypocty indexu'!M31*'Cenova nabidka ELEKTRO'!$F19</f>
        <v>0</v>
      </c>
      <c r="N79" s="118">
        <f>'NABIDKA DOPRAVCE'!$L23*'Vypocty indexu'!N31*'Cenova nabidka ELEKTRO'!$F19</f>
        <v>0</v>
      </c>
    </row>
    <row r="80" spans="2:14" ht="12.75" outlineLevel="1">
      <c r="B80" s="56">
        <v>18</v>
      </c>
      <c r="C80" s="47" t="s">
        <v>13</v>
      </c>
      <c r="D80" s="193"/>
      <c r="E80" s="118">
        <f>'NABIDKA DOPRAVCE'!$L24*'Vypocty indexu'!E32*'Cenova nabidka ELEKTRO'!$F20</f>
        <v>0</v>
      </c>
      <c r="F80" s="118">
        <f>'NABIDKA DOPRAVCE'!$L24*'Vypocty indexu'!F32*'Cenova nabidka ELEKTRO'!$F20</f>
        <v>0</v>
      </c>
      <c r="G80" s="118">
        <f>'NABIDKA DOPRAVCE'!$L24*'Vypocty indexu'!G32*'Cenova nabidka ELEKTRO'!$F20</f>
        <v>0</v>
      </c>
      <c r="H80" s="118">
        <f>'NABIDKA DOPRAVCE'!$L24*'Vypocty indexu'!H32*'Cenova nabidka ELEKTRO'!$F20</f>
        <v>0</v>
      </c>
      <c r="I80" s="118">
        <f>'NABIDKA DOPRAVCE'!$L24*'Vypocty indexu'!I32*'Cenova nabidka ELEKTRO'!$F20</f>
        <v>0</v>
      </c>
      <c r="J80" s="118">
        <f>'NABIDKA DOPRAVCE'!$L24*'Vypocty indexu'!J32*'Cenova nabidka ELEKTRO'!$F20</f>
        <v>0</v>
      </c>
      <c r="K80" s="118">
        <f>'NABIDKA DOPRAVCE'!$L24*'Vypocty indexu'!K32*'Cenova nabidka ELEKTRO'!$F20</f>
        <v>0</v>
      </c>
      <c r="L80" s="118">
        <f>'NABIDKA DOPRAVCE'!$L24*'Vypocty indexu'!L32*'Cenova nabidka ELEKTRO'!$F20</f>
        <v>0</v>
      </c>
      <c r="M80" s="118">
        <f>'NABIDKA DOPRAVCE'!$L24*'Vypocty indexu'!M32*'Cenova nabidka ELEKTRO'!$F20</f>
        <v>0</v>
      </c>
      <c r="N80" s="118">
        <f>'NABIDKA DOPRAVCE'!$L24*'Vypocty indexu'!N32*'Cenova nabidka ELEKTRO'!$F20</f>
        <v>0</v>
      </c>
    </row>
    <row r="81" spans="2:14" ht="12.75" outlineLevel="1">
      <c r="B81" s="56">
        <v>19</v>
      </c>
      <c r="C81" s="47" t="s">
        <v>14</v>
      </c>
      <c r="D81" s="193"/>
      <c r="E81" s="118">
        <f>'NABIDKA DOPRAVCE'!$L25*'Vypocty indexu'!E33*'Cenova nabidka ELEKTRO'!$F21</f>
        <v>0</v>
      </c>
      <c r="F81" s="118">
        <f>'NABIDKA DOPRAVCE'!$L25*'Vypocty indexu'!F33*'Cenova nabidka ELEKTRO'!$F21</f>
        <v>0</v>
      </c>
      <c r="G81" s="118">
        <f>'NABIDKA DOPRAVCE'!$L25*'Vypocty indexu'!G33*'Cenova nabidka ELEKTRO'!$F21</f>
        <v>0</v>
      </c>
      <c r="H81" s="118">
        <f>'NABIDKA DOPRAVCE'!$L25*'Vypocty indexu'!H33*'Cenova nabidka ELEKTRO'!$F21</f>
        <v>0</v>
      </c>
      <c r="I81" s="118">
        <f>'NABIDKA DOPRAVCE'!$L25*'Vypocty indexu'!I33*'Cenova nabidka ELEKTRO'!$F21</f>
        <v>0</v>
      </c>
      <c r="J81" s="118">
        <f>'NABIDKA DOPRAVCE'!$L25*'Vypocty indexu'!J33*'Cenova nabidka ELEKTRO'!$F21</f>
        <v>0</v>
      </c>
      <c r="K81" s="118">
        <f>'NABIDKA DOPRAVCE'!$L25*'Vypocty indexu'!K33*'Cenova nabidka ELEKTRO'!$F21</f>
        <v>0</v>
      </c>
      <c r="L81" s="118">
        <f>'NABIDKA DOPRAVCE'!$L25*'Vypocty indexu'!L33*'Cenova nabidka ELEKTRO'!$F21</f>
        <v>0</v>
      </c>
      <c r="M81" s="118">
        <f>'NABIDKA DOPRAVCE'!$L25*'Vypocty indexu'!M33*'Cenova nabidka ELEKTRO'!$F21</f>
        <v>0</v>
      </c>
      <c r="N81" s="118">
        <f>'NABIDKA DOPRAVCE'!$L25*'Vypocty indexu'!N33*'Cenova nabidka ELEKTRO'!$F21</f>
        <v>0</v>
      </c>
    </row>
    <row r="82" spans="2:14" ht="12.75" outlineLevel="1">
      <c r="B82" s="56">
        <v>20</v>
      </c>
      <c r="C82" s="47" t="s">
        <v>15</v>
      </c>
      <c r="D82" s="193"/>
      <c r="E82" s="118">
        <f>'NABIDKA DOPRAVCE'!$L26*'Vypocty indexu'!E34*'Cenova nabidka ELEKTRO'!$F22</f>
        <v>0</v>
      </c>
      <c r="F82" s="118">
        <f>'NABIDKA DOPRAVCE'!$L26*'Vypocty indexu'!F34*'Cenova nabidka ELEKTRO'!$F22</f>
        <v>0</v>
      </c>
      <c r="G82" s="118">
        <f>'NABIDKA DOPRAVCE'!$L26*'Vypocty indexu'!G34*'Cenova nabidka ELEKTRO'!$F22</f>
        <v>0</v>
      </c>
      <c r="H82" s="118">
        <f>'NABIDKA DOPRAVCE'!$L26*'Vypocty indexu'!H34*'Cenova nabidka ELEKTRO'!$F22</f>
        <v>0</v>
      </c>
      <c r="I82" s="118">
        <f>'NABIDKA DOPRAVCE'!$L26*'Vypocty indexu'!I34*'Cenova nabidka ELEKTRO'!$F22</f>
        <v>0</v>
      </c>
      <c r="J82" s="118">
        <f>'NABIDKA DOPRAVCE'!$L26*'Vypocty indexu'!J34*'Cenova nabidka ELEKTRO'!$F22</f>
        <v>0</v>
      </c>
      <c r="K82" s="118">
        <f>'NABIDKA DOPRAVCE'!$L26*'Vypocty indexu'!K34*'Cenova nabidka ELEKTRO'!$F22</f>
        <v>0</v>
      </c>
      <c r="L82" s="118">
        <f>'NABIDKA DOPRAVCE'!$L26*'Vypocty indexu'!L34*'Cenova nabidka ELEKTRO'!$F22</f>
        <v>0</v>
      </c>
      <c r="M82" s="118">
        <f>'NABIDKA DOPRAVCE'!$L26*'Vypocty indexu'!M34*'Cenova nabidka ELEKTRO'!$F22</f>
        <v>0</v>
      </c>
      <c r="N82" s="118">
        <f>'NABIDKA DOPRAVCE'!$L26*'Vypocty indexu'!N34*'Cenova nabidka ELEKTRO'!$F22</f>
        <v>0</v>
      </c>
    </row>
    <row r="83" spans="2:14" ht="12.75" outlineLevel="1">
      <c r="B83" s="56">
        <v>21</v>
      </c>
      <c r="C83" s="47" t="s">
        <v>16</v>
      </c>
      <c r="D83" s="193"/>
      <c r="E83" s="118">
        <f>'NABIDKA DOPRAVCE'!$L27*'Vypocty indexu'!E35*'Cenova nabidka ELEKTRO'!$F23</f>
        <v>0.03196</v>
      </c>
      <c r="F83" s="118">
        <f>'NABIDKA DOPRAVCE'!$L27*'Vypocty indexu'!F35*'Cenova nabidka ELEKTRO'!$F23</f>
        <v>0</v>
      </c>
      <c r="G83" s="118">
        <f>'NABIDKA DOPRAVCE'!$L27*'Vypocty indexu'!G35*'Cenova nabidka ELEKTRO'!$F23</f>
        <v>0</v>
      </c>
      <c r="H83" s="118">
        <f>'NABIDKA DOPRAVCE'!$L27*'Vypocty indexu'!H35*'Cenova nabidka ELEKTRO'!$F23</f>
        <v>0</v>
      </c>
      <c r="I83" s="118">
        <f>'NABIDKA DOPRAVCE'!$L27*'Vypocty indexu'!I35*'Cenova nabidka ELEKTRO'!$F23</f>
        <v>0</v>
      </c>
      <c r="J83" s="118">
        <f>'NABIDKA DOPRAVCE'!$L27*'Vypocty indexu'!J35*'Cenova nabidka ELEKTRO'!$F23</f>
        <v>0</v>
      </c>
      <c r="K83" s="118">
        <f>'NABIDKA DOPRAVCE'!$L27*'Vypocty indexu'!K35*'Cenova nabidka ELEKTRO'!$F23</f>
        <v>0</v>
      </c>
      <c r="L83" s="118">
        <f>'NABIDKA DOPRAVCE'!$L27*'Vypocty indexu'!L35*'Cenova nabidka ELEKTRO'!$F23</f>
        <v>0</v>
      </c>
      <c r="M83" s="118">
        <f>'NABIDKA DOPRAVCE'!$L27*'Vypocty indexu'!M35*'Cenova nabidka ELEKTRO'!$F23</f>
        <v>0</v>
      </c>
      <c r="N83" s="118">
        <f>'NABIDKA DOPRAVCE'!$L27*'Vypocty indexu'!N35*'Cenova nabidka ELEKTRO'!$F23</f>
        <v>0</v>
      </c>
    </row>
    <row r="84" spans="2:14" ht="12.75" outlineLevel="1">
      <c r="B84" s="56">
        <v>22</v>
      </c>
      <c r="C84" s="47" t="s">
        <v>17</v>
      </c>
      <c r="D84" s="193"/>
      <c r="E84" s="118">
        <f>'NABIDKA DOPRAVCE'!$L28*'Vypocty indexu'!E36*'Cenova nabidka ELEKTRO'!$F24</f>
        <v>0</v>
      </c>
      <c r="F84" s="118">
        <f>'NABIDKA DOPRAVCE'!$L28*'Vypocty indexu'!F36*'Cenova nabidka ELEKTRO'!$F24</f>
        <v>0</v>
      </c>
      <c r="G84" s="118">
        <f>'NABIDKA DOPRAVCE'!$L28*'Vypocty indexu'!G36*'Cenova nabidka ELEKTRO'!$F24</f>
        <v>0</v>
      </c>
      <c r="H84" s="118">
        <f>'NABIDKA DOPRAVCE'!$L28*'Vypocty indexu'!H36*'Cenova nabidka ELEKTRO'!$F24</f>
        <v>0</v>
      </c>
      <c r="I84" s="118">
        <f>'NABIDKA DOPRAVCE'!$L28*'Vypocty indexu'!I36*'Cenova nabidka ELEKTRO'!$F24</f>
        <v>0</v>
      </c>
      <c r="J84" s="118">
        <f>'NABIDKA DOPRAVCE'!$L28*'Vypocty indexu'!J36*'Cenova nabidka ELEKTRO'!$F24</f>
        <v>0</v>
      </c>
      <c r="K84" s="118">
        <f>'NABIDKA DOPRAVCE'!$L28*'Vypocty indexu'!K36*'Cenova nabidka ELEKTRO'!$F24</f>
        <v>0</v>
      </c>
      <c r="L84" s="118">
        <f>'NABIDKA DOPRAVCE'!$L28*'Vypocty indexu'!L36*'Cenova nabidka ELEKTRO'!$F24</f>
        <v>0</v>
      </c>
      <c r="M84" s="118">
        <f>'NABIDKA DOPRAVCE'!$L28*'Vypocty indexu'!M36*'Cenova nabidka ELEKTRO'!$F24</f>
        <v>0</v>
      </c>
      <c r="N84" s="118">
        <f>'NABIDKA DOPRAVCE'!$L28*'Vypocty indexu'!N36*'Cenova nabidka ELEKTRO'!$F24</f>
        <v>0</v>
      </c>
    </row>
    <row r="85" spans="2:14" ht="12.75" outlineLevel="1">
      <c r="B85" s="56">
        <v>23</v>
      </c>
      <c r="C85" s="47" t="s">
        <v>18</v>
      </c>
      <c r="D85" s="193"/>
      <c r="E85" s="118">
        <f>'NABIDKA DOPRAVCE'!$L29*'Vypocty indexu'!E37*'Cenova nabidka ELEKTRO'!$F25</f>
        <v>0</v>
      </c>
      <c r="F85" s="118">
        <f>'NABIDKA DOPRAVCE'!$L29*'Vypocty indexu'!F37*'Cenova nabidka ELEKTRO'!$F25</f>
        <v>0</v>
      </c>
      <c r="G85" s="118">
        <f>'NABIDKA DOPRAVCE'!$L29*'Vypocty indexu'!G37*'Cenova nabidka ELEKTRO'!$F25</f>
        <v>0</v>
      </c>
      <c r="H85" s="118">
        <f>'NABIDKA DOPRAVCE'!$L29*'Vypocty indexu'!H37*'Cenova nabidka ELEKTRO'!$F25</f>
        <v>0</v>
      </c>
      <c r="I85" s="118">
        <f>'NABIDKA DOPRAVCE'!$L29*'Vypocty indexu'!I37*'Cenova nabidka ELEKTRO'!$F25</f>
        <v>0</v>
      </c>
      <c r="J85" s="118">
        <f>'NABIDKA DOPRAVCE'!$L29*'Vypocty indexu'!J37*'Cenova nabidka ELEKTRO'!$F25</f>
        <v>0</v>
      </c>
      <c r="K85" s="118">
        <f>'NABIDKA DOPRAVCE'!$L29*'Vypocty indexu'!K37*'Cenova nabidka ELEKTRO'!$F25</f>
        <v>0</v>
      </c>
      <c r="L85" s="118">
        <f>'NABIDKA DOPRAVCE'!$L29*'Vypocty indexu'!L37*'Cenova nabidka ELEKTRO'!$F25</f>
        <v>0</v>
      </c>
      <c r="M85" s="118">
        <f>'NABIDKA DOPRAVCE'!$L29*'Vypocty indexu'!M37*'Cenova nabidka ELEKTRO'!$F25</f>
        <v>0</v>
      </c>
      <c r="N85" s="118">
        <f>'NABIDKA DOPRAVCE'!$L29*'Vypocty indexu'!N37*'Cenova nabidka ELEKTRO'!$F25</f>
        <v>0</v>
      </c>
    </row>
    <row r="86" spans="2:14" ht="12.75" outlineLevel="1">
      <c r="B86" s="56">
        <v>24</v>
      </c>
      <c r="C86" s="47" t="s">
        <v>19</v>
      </c>
      <c r="D86" s="193"/>
      <c r="E86" s="118">
        <f>'NABIDKA DOPRAVCE'!$L30*'Vypocty indexu'!E38*'Cenova nabidka ELEKTRO'!$F26</f>
        <v>0</v>
      </c>
      <c r="F86" s="118">
        <f>'NABIDKA DOPRAVCE'!$L30*'Vypocty indexu'!F38*'Cenova nabidka ELEKTRO'!$F26</f>
        <v>0</v>
      </c>
      <c r="G86" s="118">
        <f>'NABIDKA DOPRAVCE'!$L30*'Vypocty indexu'!G38*'Cenova nabidka ELEKTRO'!$F26</f>
        <v>0</v>
      </c>
      <c r="H86" s="118">
        <f>'NABIDKA DOPRAVCE'!$L30*'Vypocty indexu'!H38*'Cenova nabidka ELEKTRO'!$F26</f>
        <v>0</v>
      </c>
      <c r="I86" s="118">
        <f>'NABIDKA DOPRAVCE'!$L30*'Vypocty indexu'!I38*'Cenova nabidka ELEKTRO'!$F26</f>
        <v>0</v>
      </c>
      <c r="J86" s="118">
        <f>'NABIDKA DOPRAVCE'!$L30*'Vypocty indexu'!J38*'Cenova nabidka ELEKTRO'!$F26</f>
        <v>0</v>
      </c>
      <c r="K86" s="118">
        <f>'NABIDKA DOPRAVCE'!$L30*'Vypocty indexu'!K38*'Cenova nabidka ELEKTRO'!$F26</f>
        <v>0</v>
      </c>
      <c r="L86" s="118">
        <f>'NABIDKA DOPRAVCE'!$L30*'Vypocty indexu'!L38*'Cenova nabidka ELEKTRO'!$F26</f>
        <v>0</v>
      </c>
      <c r="M86" s="118">
        <f>'NABIDKA DOPRAVCE'!$L30*'Vypocty indexu'!M38*'Cenova nabidka ELEKTRO'!$F26</f>
        <v>0</v>
      </c>
      <c r="N86" s="118">
        <f>'NABIDKA DOPRAVCE'!$L30*'Vypocty indexu'!N38*'Cenova nabidka ELEKTRO'!$F26</f>
        <v>0</v>
      </c>
    </row>
    <row r="87" spans="2:14" ht="12.75" outlineLevel="1">
      <c r="B87" s="56">
        <v>25</v>
      </c>
      <c r="C87" s="47" t="s">
        <v>20</v>
      </c>
      <c r="D87" s="193"/>
      <c r="E87" s="118">
        <f>'NABIDKA DOPRAVCE'!$L31*'Vypocty indexu'!E39*'Cenova nabidka ELEKTRO'!$F27</f>
        <v>0</v>
      </c>
      <c r="F87" s="118">
        <f>'NABIDKA DOPRAVCE'!$L31*'Vypocty indexu'!F39*'Cenova nabidka ELEKTRO'!$F27</f>
        <v>0</v>
      </c>
      <c r="G87" s="118">
        <f>'NABIDKA DOPRAVCE'!$L31*'Vypocty indexu'!G39*'Cenova nabidka ELEKTRO'!$F27</f>
        <v>0</v>
      </c>
      <c r="H87" s="118">
        <f>'NABIDKA DOPRAVCE'!$L31*'Vypocty indexu'!H39*'Cenova nabidka ELEKTRO'!$F27</f>
        <v>0</v>
      </c>
      <c r="I87" s="118">
        <f>'NABIDKA DOPRAVCE'!$L31*'Vypocty indexu'!I39*'Cenova nabidka ELEKTRO'!$F27</f>
        <v>0</v>
      </c>
      <c r="J87" s="118">
        <f>'NABIDKA DOPRAVCE'!$L31*'Vypocty indexu'!J39*'Cenova nabidka ELEKTRO'!$F27</f>
        <v>0</v>
      </c>
      <c r="K87" s="118">
        <f>'NABIDKA DOPRAVCE'!$L31*'Vypocty indexu'!K39*'Cenova nabidka ELEKTRO'!$F27</f>
        <v>0</v>
      </c>
      <c r="L87" s="118">
        <f>'NABIDKA DOPRAVCE'!$L31*'Vypocty indexu'!L39*'Cenova nabidka ELEKTRO'!$F27</f>
        <v>0</v>
      </c>
      <c r="M87" s="118">
        <f>'NABIDKA DOPRAVCE'!$L31*'Vypocty indexu'!M39*'Cenova nabidka ELEKTRO'!$F27</f>
        <v>0</v>
      </c>
      <c r="N87" s="118">
        <f>'NABIDKA DOPRAVCE'!$L31*'Vypocty indexu'!N39*'Cenova nabidka ELEKTRO'!$F27</f>
        <v>0</v>
      </c>
    </row>
    <row r="88" spans="2:14" ht="12.75" outlineLevel="1">
      <c r="B88" s="67"/>
      <c r="C88" s="47"/>
      <c r="D88" s="193"/>
      <c r="E88" s="118"/>
      <c r="F88" s="118"/>
      <c r="G88" s="118"/>
      <c r="H88" s="118"/>
      <c r="I88" s="118"/>
      <c r="J88" s="118"/>
      <c r="K88" s="118"/>
      <c r="L88" s="118"/>
      <c r="M88" s="118"/>
      <c r="N88" s="118"/>
    </row>
    <row r="89" spans="2:14" ht="12.75" outlineLevel="1">
      <c r="B89" s="56">
        <v>97</v>
      </c>
      <c r="C89" s="47" t="s">
        <v>84</v>
      </c>
      <c r="D89" s="193"/>
      <c r="E89" s="118">
        <f>'NABIDKA DOPRAVCE'!$L33*'Vypocty indexu'!E41*'Cenova nabidka ELEKTRO'!$F29</f>
        <v>0</v>
      </c>
      <c r="F89" s="118">
        <f>'NABIDKA DOPRAVCE'!$L33*'Vypocty indexu'!F41*'Cenova nabidka ELEKTRO'!$F29</f>
        <v>0</v>
      </c>
      <c r="G89" s="118">
        <f>'NABIDKA DOPRAVCE'!$L33*'Vypocty indexu'!G41*'Cenova nabidka ELEKTRO'!$F29</f>
        <v>0</v>
      </c>
      <c r="H89" s="118">
        <f>'NABIDKA DOPRAVCE'!$L33*'Vypocty indexu'!H41*'Cenova nabidka ELEKTRO'!$F29</f>
        <v>0</v>
      </c>
      <c r="I89" s="118">
        <f>'NABIDKA DOPRAVCE'!$L33*'Vypocty indexu'!I41*'Cenova nabidka ELEKTRO'!$F29</f>
        <v>0</v>
      </c>
      <c r="J89" s="118">
        <f>'NABIDKA DOPRAVCE'!$L33*'Vypocty indexu'!J41*'Cenova nabidka ELEKTRO'!$F29</f>
        <v>0</v>
      </c>
      <c r="K89" s="118">
        <f>'NABIDKA DOPRAVCE'!$L33*'Vypocty indexu'!K41*'Cenova nabidka ELEKTRO'!$F29</f>
        <v>0</v>
      </c>
      <c r="L89" s="118">
        <f>'NABIDKA DOPRAVCE'!$L33*'Vypocty indexu'!L41*'Cenova nabidka ELEKTRO'!$F29</f>
        <v>0</v>
      </c>
      <c r="M89" s="118">
        <f>'NABIDKA DOPRAVCE'!$L33*'Vypocty indexu'!M41*'Cenova nabidka ELEKTRO'!$F29</f>
        <v>0</v>
      </c>
      <c r="N89" s="118">
        <f>'NABIDKA DOPRAVCE'!$L33*'Vypocty indexu'!N41*'Cenova nabidka ELEKTRO'!$F29</f>
        <v>0</v>
      </c>
    </row>
    <row r="90" spans="2:14" ht="12.75" outlineLevel="1">
      <c r="B90" s="56">
        <v>98</v>
      </c>
      <c r="C90" s="47" t="s">
        <v>44</v>
      </c>
      <c r="D90" s="193"/>
      <c r="E90" s="118">
        <f>'NABIDKA DOPRAVCE'!$L34*'Vypocty indexu'!E42*'Cenova nabidka ELEKTRO'!$F30</f>
        <v>0</v>
      </c>
      <c r="F90" s="118">
        <f>'NABIDKA DOPRAVCE'!$L34*'Vypocty indexu'!F42*'Cenova nabidka ELEKTRO'!$F30</f>
        <v>0</v>
      </c>
      <c r="G90" s="118">
        <f>'NABIDKA DOPRAVCE'!$L34*'Vypocty indexu'!G42*'Cenova nabidka ELEKTRO'!$F30</f>
        <v>0</v>
      </c>
      <c r="H90" s="118">
        <f>'NABIDKA DOPRAVCE'!$L34*'Vypocty indexu'!H42*'Cenova nabidka ELEKTRO'!$F30</f>
        <v>0</v>
      </c>
      <c r="I90" s="118">
        <f>'NABIDKA DOPRAVCE'!$L34*'Vypocty indexu'!I42*'Cenova nabidka ELEKTRO'!$F30</f>
        <v>0</v>
      </c>
      <c r="J90" s="118">
        <f>'NABIDKA DOPRAVCE'!$L34*'Vypocty indexu'!J42*'Cenova nabidka ELEKTRO'!$F30</f>
        <v>0</v>
      </c>
      <c r="K90" s="118">
        <f>'NABIDKA DOPRAVCE'!$L34*'Vypocty indexu'!K42*'Cenova nabidka ELEKTRO'!$F30</f>
        <v>0</v>
      </c>
      <c r="L90" s="118">
        <f>'NABIDKA DOPRAVCE'!$L34*'Vypocty indexu'!L42*'Cenova nabidka ELEKTRO'!$F30</f>
        <v>0</v>
      </c>
      <c r="M90" s="118">
        <f>'NABIDKA DOPRAVCE'!$L34*'Vypocty indexu'!M42*'Cenova nabidka ELEKTRO'!$F30</f>
        <v>0</v>
      </c>
      <c r="N90" s="118">
        <f>'NABIDKA DOPRAVCE'!$L34*'Vypocty indexu'!N42*'Cenova nabidka ELEKTRO'!$F30</f>
        <v>0</v>
      </c>
    </row>
    <row r="91" spans="2:14" ht="12.75" outlineLevel="1">
      <c r="B91" s="56">
        <v>99</v>
      </c>
      <c r="C91" s="47" t="s">
        <v>226</v>
      </c>
      <c r="D91" s="193"/>
      <c r="E91" s="749" t="s">
        <v>228</v>
      </c>
      <c r="F91" s="750"/>
      <c r="G91" s="750"/>
      <c r="H91" s="750"/>
      <c r="I91" s="750"/>
      <c r="J91" s="750"/>
      <c r="K91" s="750"/>
      <c r="L91" s="750"/>
      <c r="M91" s="750"/>
      <c r="N91" s="751"/>
    </row>
    <row r="92" spans="2:14" ht="12.75">
      <c r="B92" s="56"/>
      <c r="C92" s="63" t="s">
        <v>107</v>
      </c>
      <c r="D92" s="28"/>
      <c r="E92" s="119">
        <f aca="true" t="shared" si="3" ref="E92:N92">ROUND(SUM(E67:E90),2)</f>
        <v>0.03</v>
      </c>
      <c r="F92" s="119">
        <f t="shared" si="3"/>
        <v>0</v>
      </c>
      <c r="G92" s="119">
        <f t="shared" si="3"/>
        <v>0</v>
      </c>
      <c r="H92" s="119">
        <f t="shared" si="3"/>
        <v>0</v>
      </c>
      <c r="I92" s="119">
        <f t="shared" si="3"/>
        <v>0</v>
      </c>
      <c r="J92" s="119">
        <f t="shared" si="3"/>
        <v>0</v>
      </c>
      <c r="K92" s="119">
        <f t="shared" si="3"/>
        <v>0</v>
      </c>
      <c r="L92" s="119">
        <f t="shared" si="3"/>
        <v>0</v>
      </c>
      <c r="M92" s="119">
        <f t="shared" si="3"/>
        <v>0</v>
      </c>
      <c r="N92" s="119">
        <f t="shared" si="3"/>
        <v>0</v>
      </c>
    </row>
    <row r="93" spans="5:15" s="54" customFormat="1" ht="12.75" customHeight="1">
      <c r="E93" s="117"/>
      <c r="F93" s="117"/>
      <c r="G93" s="117"/>
      <c r="H93" s="117"/>
      <c r="I93" s="117"/>
      <c r="J93" s="117"/>
      <c r="K93" s="117"/>
      <c r="L93" s="117"/>
      <c r="M93" s="117"/>
      <c r="N93" s="117"/>
      <c r="O93" s="116"/>
    </row>
    <row r="94" s="9" customFormat="1" ht="12.75" customHeight="1" hidden="1">
      <c r="O94" s="88"/>
    </row>
    <row r="95" s="9" customFormat="1" ht="12.75" customHeight="1" hidden="1">
      <c r="O95" s="88"/>
    </row>
    <row r="96" s="9" customFormat="1" ht="12.75" customHeight="1" hidden="1">
      <c r="O96" s="88"/>
    </row>
    <row r="97" s="9" customFormat="1" ht="12.75" customHeight="1" hidden="1">
      <c r="O97" s="88"/>
    </row>
    <row r="98" s="9" customFormat="1" ht="12.75" customHeight="1" hidden="1">
      <c r="O98" s="88"/>
    </row>
    <row r="99" s="9" customFormat="1" ht="12.75" customHeight="1" hidden="1">
      <c r="O99" s="88"/>
    </row>
    <row r="100" s="9" customFormat="1" ht="12.75" customHeight="1" hidden="1">
      <c r="O100" s="88"/>
    </row>
    <row r="101" s="9" customFormat="1" ht="12.75" customHeight="1" hidden="1">
      <c r="O101" s="88"/>
    </row>
    <row r="102" s="9" customFormat="1" ht="12.75" customHeight="1" hidden="1">
      <c r="O102" s="88"/>
    </row>
    <row r="103" s="9" customFormat="1" ht="12.75" customHeight="1" hidden="1">
      <c r="O103" s="88"/>
    </row>
    <row r="104" s="9" customFormat="1" ht="12.75" customHeight="1" hidden="1">
      <c r="O104" s="88"/>
    </row>
    <row r="105" s="9" customFormat="1" ht="12.75" customHeight="1" hidden="1">
      <c r="O105" s="88"/>
    </row>
    <row r="106" s="9" customFormat="1" ht="12.75" customHeight="1" hidden="1">
      <c r="O106" s="88"/>
    </row>
    <row r="107" s="9" customFormat="1" ht="12.75" customHeight="1" hidden="1">
      <c r="O107" s="88"/>
    </row>
    <row r="108" s="9" customFormat="1" ht="12.75" customHeight="1" hidden="1">
      <c r="O108" s="88"/>
    </row>
    <row r="109" s="9" customFormat="1" ht="12.75" customHeight="1" hidden="1">
      <c r="O109" s="88"/>
    </row>
    <row r="110" s="9" customFormat="1" ht="12.75" customHeight="1" hidden="1">
      <c r="O110" s="88"/>
    </row>
    <row r="111" s="9" customFormat="1" ht="12.75" customHeight="1" hidden="1">
      <c r="O111" s="88"/>
    </row>
    <row r="112" s="9" customFormat="1" ht="12.75" customHeight="1" hidden="1">
      <c r="O112" s="88"/>
    </row>
    <row r="113" s="9" customFormat="1" ht="12.75" customHeight="1" hidden="1">
      <c r="O113" s="88"/>
    </row>
    <row r="114" s="9" customFormat="1" ht="12.75" customHeight="1" hidden="1">
      <c r="O114" s="88"/>
    </row>
    <row r="115" s="9" customFormat="1" ht="12.75" customHeight="1" hidden="1">
      <c r="O115" s="88"/>
    </row>
    <row r="116" s="9" customFormat="1" ht="12.75" customHeight="1" hidden="1">
      <c r="O116" s="88"/>
    </row>
    <row r="117" s="9" customFormat="1" ht="12.75" customHeight="1" hidden="1">
      <c r="O117" s="88"/>
    </row>
    <row r="118" ht="12.75" customHeight="1" hidden="1"/>
    <row r="119" ht="12.75" customHeight="1" hidden="1"/>
    <row r="120" ht="12.75" customHeight="1" hidden="1"/>
    <row r="121" ht="12.75" customHeight="1" hidden="1"/>
    <row r="122" ht="12.75" customHeight="1" hidden="1"/>
    <row r="123" ht="12.75" customHeight="1" hidden="1"/>
    <row r="124" ht="12.75" customHeight="1" hidden="1"/>
  </sheetData>
  <sheetProtection password="EEFD" sheet="1" scenarios="1" formatRows="0"/>
  <mergeCells count="2">
    <mergeCell ref="E91:N91"/>
    <mergeCell ref="E62:N62"/>
  </mergeCells>
  <conditionalFormatting sqref="E33:N33">
    <cfRule type="expression" priority="1" dxfId="0">
      <formula>OR(E33&lt;SH,E33&gt;HH)</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43" r:id="rId1"/>
  <headerFooter>
    <oddHeader>&amp;C&amp;F</oddHeader>
    <oddFooter>&amp;C&amp;A</oddFooter>
  </headerFooter>
  <rowBreaks count="2" manualBreakCount="2">
    <brk id="34" max="16383" man="1"/>
    <brk id="6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topLeftCell="A1"/>
  </sheetViews>
  <sheetFormatPr defaultColWidth="0" defaultRowHeight="12.75" customHeight="1" zeroHeight="1"/>
  <cols>
    <col min="1" max="1" width="4.7109375" style="9" customWidth="1"/>
    <col min="2" max="2" width="9.140625" style="9" customWidth="1"/>
    <col min="3" max="3" width="22.140625" style="9" customWidth="1"/>
    <col min="4" max="4" width="16.8515625" style="9" customWidth="1"/>
    <col min="5" max="14" width="14.7109375" style="9" customWidth="1"/>
    <col min="15" max="15" width="4.7109375" style="88" customWidth="1"/>
    <col min="16" max="16384" width="9.140625" style="9" hidden="1" customWidth="1"/>
  </cols>
  <sheetData>
    <row r="1" s="10" customFormat="1" ht="12.75">
      <c r="O1" s="50"/>
    </row>
    <row r="2" spans="2:15" s="10" customFormat="1" ht="12.75">
      <c r="B2" s="11" t="s">
        <v>91</v>
      </c>
      <c r="O2" s="50"/>
    </row>
    <row r="3" spans="5:15" s="10" customFormat="1" ht="12.75">
      <c r="E3" s="10" t="s">
        <v>74</v>
      </c>
      <c r="H3" s="10" t="s">
        <v>75</v>
      </c>
      <c r="K3" s="10" t="s">
        <v>76</v>
      </c>
      <c r="N3" s="10" t="s">
        <v>77</v>
      </c>
      <c r="O3" s="50"/>
    </row>
    <row r="4" spans="2:15" s="10" customFormat="1" ht="12.75">
      <c r="B4" s="53" t="s">
        <v>35</v>
      </c>
      <c r="C4" s="53" t="s">
        <v>65</v>
      </c>
      <c r="D4" s="54"/>
      <c r="E4" s="73">
        <f>VR</f>
        <v>1</v>
      </c>
      <c r="F4" s="74">
        <f>E4+1</f>
        <v>2</v>
      </c>
      <c r="G4" s="74">
        <f aca="true" t="shared" si="0" ref="G4:N4">F4+1</f>
        <v>3</v>
      </c>
      <c r="H4" s="75">
        <f t="shared" si="0"/>
        <v>4</v>
      </c>
      <c r="I4" s="75">
        <f t="shared" si="0"/>
        <v>5</v>
      </c>
      <c r="J4" s="75">
        <f t="shared" si="0"/>
        <v>6</v>
      </c>
      <c r="K4" s="76">
        <f t="shared" si="0"/>
        <v>7</v>
      </c>
      <c r="L4" s="76">
        <f t="shared" si="0"/>
        <v>8</v>
      </c>
      <c r="M4" s="76">
        <f t="shared" si="0"/>
        <v>9</v>
      </c>
      <c r="N4" s="58">
        <f t="shared" si="0"/>
        <v>10</v>
      </c>
      <c r="O4" s="50"/>
    </row>
    <row r="5" spans="2:15" s="10" customFormat="1" ht="12.75">
      <c r="B5" s="56" t="s">
        <v>22</v>
      </c>
      <c r="C5" s="47" t="s">
        <v>56</v>
      </c>
      <c r="D5" s="48"/>
      <c r="E5" s="71"/>
      <c r="F5" s="71"/>
      <c r="G5" s="71"/>
      <c r="H5" s="71">
        <f>'Vypocty NAFTA'!H8*5%</f>
        <v>0</v>
      </c>
      <c r="I5" s="71">
        <f>'Vypocty NAFTA'!I8*5%</f>
        <v>0</v>
      </c>
      <c r="J5" s="71">
        <f>'Vypocty NAFTA'!J8*5%</f>
        <v>0</v>
      </c>
      <c r="K5" s="71">
        <f>'Vypocty NAFTA'!K8*-3%</f>
        <v>0</v>
      </c>
      <c r="L5" s="71">
        <f>'Vypocty NAFTA'!L8*-3%</f>
        <v>0</v>
      </c>
      <c r="M5" s="71">
        <f>'Vypocty NAFTA'!M8*-3%</f>
        <v>0</v>
      </c>
      <c r="N5" s="71"/>
      <c r="O5" s="50"/>
    </row>
    <row r="6" spans="2:15" s="10" customFormat="1" ht="12.75">
      <c r="B6" s="56" t="s">
        <v>23</v>
      </c>
      <c r="C6" s="47" t="s">
        <v>57</v>
      </c>
      <c r="D6" s="48"/>
      <c r="E6" s="71"/>
      <c r="F6" s="71">
        <v>-1000000</v>
      </c>
      <c r="G6" s="71">
        <v>-1000000</v>
      </c>
      <c r="H6" s="71">
        <f>'Vypocty NAFTA'!H9*5%</f>
        <v>0</v>
      </c>
      <c r="I6" s="71">
        <f>'Vypocty NAFTA'!I9*5%</f>
        <v>0</v>
      </c>
      <c r="J6" s="71">
        <f>'Vypocty NAFTA'!J9*5%</f>
        <v>0</v>
      </c>
      <c r="K6" s="71">
        <f>'Vypocty NAFTA'!K9*-3%</f>
        <v>0</v>
      </c>
      <c r="L6" s="71">
        <f>'Vypocty NAFTA'!L9*-3%</f>
        <v>0</v>
      </c>
      <c r="M6" s="71">
        <f>'Vypocty NAFTA'!M9*-3%</f>
        <v>0</v>
      </c>
      <c r="N6" s="71"/>
      <c r="O6" s="50"/>
    </row>
    <row r="7" spans="2:15" s="10" customFormat="1" ht="12.75">
      <c r="B7" s="56" t="s">
        <v>24</v>
      </c>
      <c r="C7" s="47" t="s">
        <v>58</v>
      </c>
      <c r="D7" s="48"/>
      <c r="E7" s="71"/>
      <c r="F7" s="71"/>
      <c r="G7" s="71"/>
      <c r="H7" s="71">
        <f>'Vypocty NAFTA'!H10*5%</f>
        <v>0</v>
      </c>
      <c r="I7" s="71">
        <f>'Vypocty NAFTA'!I10*5%</f>
        <v>0</v>
      </c>
      <c r="J7" s="71">
        <f>'Vypocty NAFTA'!J10*5%</f>
        <v>0</v>
      </c>
      <c r="K7" s="71">
        <f>'Vypocty NAFTA'!K10*-3%</f>
        <v>0</v>
      </c>
      <c r="L7" s="71">
        <f>'Vypocty NAFTA'!L10*-3%</f>
        <v>0</v>
      </c>
      <c r="M7" s="71">
        <f>'Vypocty NAFTA'!M10*-3%</f>
        <v>0</v>
      </c>
      <c r="N7" s="71"/>
      <c r="O7" s="50"/>
    </row>
    <row r="8" spans="2:15" s="10" customFormat="1" ht="12.75">
      <c r="B8" s="56">
        <v>12</v>
      </c>
      <c r="C8" s="47" t="s">
        <v>8</v>
      </c>
      <c r="D8" s="48"/>
      <c r="E8" s="71"/>
      <c r="F8" s="71"/>
      <c r="G8" s="71"/>
      <c r="H8" s="71">
        <f>'Vypocty NAFTA'!H12*5%</f>
        <v>0</v>
      </c>
      <c r="I8" s="71">
        <f>'Vypocty NAFTA'!I12*5%</f>
        <v>0</v>
      </c>
      <c r="J8" s="71">
        <f>'Vypocty NAFTA'!J12*5%</f>
        <v>0</v>
      </c>
      <c r="K8" s="71">
        <f>'Vypocty NAFTA'!K12*-3%</f>
        <v>0</v>
      </c>
      <c r="L8" s="71">
        <f>'Vypocty NAFTA'!L12*-3%</f>
        <v>0</v>
      </c>
      <c r="M8" s="71">
        <f>'Vypocty NAFTA'!M12*-3%</f>
        <v>0</v>
      </c>
      <c r="N8" s="71"/>
      <c r="O8" s="50"/>
    </row>
    <row r="9" spans="2:15" s="10" customFormat="1" ht="12.75">
      <c r="B9" s="56">
        <v>13</v>
      </c>
      <c r="C9" s="47" t="s">
        <v>9</v>
      </c>
      <c r="D9" s="48"/>
      <c r="E9" s="71"/>
      <c r="F9" s="71"/>
      <c r="G9" s="71"/>
      <c r="H9" s="71">
        <f>'Vypocty NAFTA'!H13*5%</f>
        <v>0</v>
      </c>
      <c r="I9" s="71">
        <f>'Vypocty NAFTA'!I13*5%</f>
        <v>0</v>
      </c>
      <c r="J9" s="71">
        <f>'Vypocty NAFTA'!J13*5%</f>
        <v>0</v>
      </c>
      <c r="K9" s="71">
        <f>'Vypocty NAFTA'!K13*-3%</f>
        <v>0</v>
      </c>
      <c r="L9" s="71">
        <f>'Vypocty NAFTA'!L13*-3%</f>
        <v>0</v>
      </c>
      <c r="M9" s="71">
        <f>'Vypocty NAFTA'!M13*-3%</f>
        <v>0</v>
      </c>
      <c r="N9" s="71"/>
      <c r="O9" s="50"/>
    </row>
    <row r="10" spans="2:15" s="10" customFormat="1" ht="12.75">
      <c r="B10" s="56" t="s">
        <v>28</v>
      </c>
      <c r="C10" s="47" t="s">
        <v>59</v>
      </c>
      <c r="D10" s="48"/>
      <c r="E10" s="71"/>
      <c r="F10" s="71"/>
      <c r="G10" s="71"/>
      <c r="H10" s="71">
        <f>'Vypocty NAFTA'!H14*5%</f>
        <v>0</v>
      </c>
      <c r="I10" s="71">
        <f>'Vypocty NAFTA'!I14*5%</f>
        <v>0</v>
      </c>
      <c r="J10" s="71">
        <f>'Vypocty NAFTA'!J14*5%</f>
        <v>0</v>
      </c>
      <c r="K10" s="71">
        <f>'Vypocty NAFTA'!K14*-3%</f>
        <v>0</v>
      </c>
      <c r="L10" s="71">
        <f>'Vypocty NAFTA'!L14*-3%</f>
        <v>0</v>
      </c>
      <c r="M10" s="71">
        <f>'Vypocty NAFTA'!M14*-3%</f>
        <v>0</v>
      </c>
      <c r="N10" s="71"/>
      <c r="O10" s="50"/>
    </row>
    <row r="11" spans="2:15" s="10" customFormat="1" ht="12.75">
      <c r="B11" s="56" t="s">
        <v>29</v>
      </c>
      <c r="C11" s="47" t="s">
        <v>60</v>
      </c>
      <c r="D11" s="48"/>
      <c r="E11" s="71"/>
      <c r="F11" s="71"/>
      <c r="G11" s="71"/>
      <c r="H11" s="71">
        <f>'Vypocty NAFTA'!H15*5%</f>
        <v>0</v>
      </c>
      <c r="I11" s="71">
        <f>'Vypocty NAFTA'!I15*5%</f>
        <v>0</v>
      </c>
      <c r="J11" s="71">
        <f>'Vypocty NAFTA'!J15*5%</f>
        <v>0</v>
      </c>
      <c r="K11" s="71">
        <f>'Vypocty NAFTA'!K15*-3%</f>
        <v>0</v>
      </c>
      <c r="L11" s="71">
        <f>'Vypocty NAFTA'!L15*-3%</f>
        <v>0</v>
      </c>
      <c r="M11" s="71">
        <f>'Vypocty NAFTA'!M15*-3%</f>
        <v>0</v>
      </c>
      <c r="N11" s="71"/>
      <c r="O11" s="50"/>
    </row>
    <row r="12" spans="2:15" s="10" customFormat="1" ht="12.75">
      <c r="B12" s="56">
        <v>15</v>
      </c>
      <c r="C12" s="47" t="s">
        <v>42</v>
      </c>
      <c r="D12" s="48"/>
      <c r="E12" s="71"/>
      <c r="F12" s="71"/>
      <c r="G12" s="71"/>
      <c r="H12" s="71">
        <f>'Vypocty NAFTA'!H16*5%</f>
        <v>0</v>
      </c>
      <c r="I12" s="71">
        <f>'Vypocty NAFTA'!I16*5%</f>
        <v>0</v>
      </c>
      <c r="J12" s="71">
        <f>'Vypocty NAFTA'!J16*5%</f>
        <v>0</v>
      </c>
      <c r="K12" s="71">
        <f>'Vypocty NAFTA'!K16*-3%</f>
        <v>0</v>
      </c>
      <c r="L12" s="71">
        <f>'Vypocty NAFTA'!L16*-3%</f>
        <v>0</v>
      </c>
      <c r="M12" s="71">
        <f>'Vypocty NAFTA'!M16*-3%</f>
        <v>0</v>
      </c>
      <c r="N12" s="71"/>
      <c r="O12" s="50"/>
    </row>
    <row r="13" spans="2:15" s="10" customFormat="1" ht="12.75">
      <c r="B13" s="56" t="s">
        <v>30</v>
      </c>
      <c r="C13" s="47" t="s">
        <v>61</v>
      </c>
      <c r="D13" s="48"/>
      <c r="E13" s="71"/>
      <c r="F13" s="71"/>
      <c r="G13" s="71"/>
      <c r="H13" s="71">
        <f>'Vypocty NAFTA'!H17*5%</f>
        <v>0</v>
      </c>
      <c r="I13" s="71">
        <f>'Vypocty NAFTA'!I17*5%</f>
        <v>0</v>
      </c>
      <c r="J13" s="71">
        <f>'Vypocty NAFTA'!J17*5%</f>
        <v>0</v>
      </c>
      <c r="K13" s="71">
        <f>'Vypocty NAFTA'!K17*-3%</f>
        <v>0</v>
      </c>
      <c r="L13" s="71">
        <f>'Vypocty NAFTA'!L17*-3%</f>
        <v>0</v>
      </c>
      <c r="M13" s="71">
        <f>'Vypocty NAFTA'!M17*-3%</f>
        <v>0</v>
      </c>
      <c r="N13" s="71"/>
      <c r="O13" s="50"/>
    </row>
    <row r="14" spans="2:15" s="10" customFormat="1" ht="12.75">
      <c r="B14" s="56" t="s">
        <v>31</v>
      </c>
      <c r="C14" s="47" t="s">
        <v>62</v>
      </c>
      <c r="D14" s="48"/>
      <c r="E14" s="71"/>
      <c r="F14" s="71"/>
      <c r="G14" s="71"/>
      <c r="H14" s="71">
        <f>'Vypocty NAFTA'!H18*5%</f>
        <v>0</v>
      </c>
      <c r="I14" s="71">
        <f>'Vypocty NAFTA'!I18*5%</f>
        <v>0</v>
      </c>
      <c r="J14" s="71">
        <f>'Vypocty NAFTA'!J18*5%</f>
        <v>0</v>
      </c>
      <c r="K14" s="71">
        <f>'Vypocty NAFTA'!K18*-3%</f>
        <v>0</v>
      </c>
      <c r="L14" s="71">
        <f>'Vypocty NAFTA'!L18*-3%</f>
        <v>0</v>
      </c>
      <c r="M14" s="71">
        <f>'Vypocty NAFTA'!M18*-3%</f>
        <v>0</v>
      </c>
      <c r="N14" s="71"/>
      <c r="O14" s="50"/>
    </row>
    <row r="15" spans="2:15" s="10" customFormat="1" ht="12.75">
      <c r="B15" s="56" t="s">
        <v>40</v>
      </c>
      <c r="C15" s="47" t="s">
        <v>63</v>
      </c>
      <c r="D15" s="48"/>
      <c r="E15" s="71"/>
      <c r="F15" s="71"/>
      <c r="G15" s="71"/>
      <c r="H15" s="71">
        <f>'Vypocty NAFTA'!H19*5%</f>
        <v>0</v>
      </c>
      <c r="I15" s="71">
        <f>'Vypocty NAFTA'!I19*5%</f>
        <v>0</v>
      </c>
      <c r="J15" s="71">
        <f>'Vypocty NAFTA'!J19*5%</f>
        <v>0</v>
      </c>
      <c r="K15" s="71">
        <f>'Vypocty NAFTA'!K19*-3%</f>
        <v>0</v>
      </c>
      <c r="L15" s="71">
        <f>'Vypocty NAFTA'!L19*-3%</f>
        <v>0</v>
      </c>
      <c r="M15" s="71">
        <f>'Vypocty NAFTA'!M19*-3%</f>
        <v>0</v>
      </c>
      <c r="N15" s="71"/>
      <c r="O15" s="50"/>
    </row>
    <row r="16" spans="2:15" s="10" customFormat="1" ht="12.75">
      <c r="B16" s="56" t="s">
        <v>41</v>
      </c>
      <c r="C16" s="47" t="s">
        <v>64</v>
      </c>
      <c r="D16" s="48"/>
      <c r="E16" s="71"/>
      <c r="F16" s="71"/>
      <c r="G16" s="71"/>
      <c r="H16" s="71">
        <f>'Vypocty NAFTA'!H20*5%</f>
        <v>0</v>
      </c>
      <c r="I16" s="71">
        <f>'Vypocty NAFTA'!I20*5%</f>
        <v>0</v>
      </c>
      <c r="J16" s="71">
        <f>'Vypocty NAFTA'!J20*5%</f>
        <v>0</v>
      </c>
      <c r="K16" s="71">
        <f>'Vypocty NAFTA'!K20*-3%</f>
        <v>0</v>
      </c>
      <c r="L16" s="71">
        <f>'Vypocty NAFTA'!L20*-3%</f>
        <v>0</v>
      </c>
      <c r="M16" s="71">
        <f>'Vypocty NAFTA'!M20*-3%</f>
        <v>0</v>
      </c>
      <c r="N16" s="71"/>
      <c r="O16" s="50"/>
    </row>
    <row r="17" spans="2:15" s="10" customFormat="1" ht="12.75">
      <c r="B17" s="56">
        <v>18</v>
      </c>
      <c r="C17" s="47" t="s">
        <v>13</v>
      </c>
      <c r="D17" s="48"/>
      <c r="E17" s="71"/>
      <c r="F17" s="71"/>
      <c r="G17" s="71"/>
      <c r="H17" s="71">
        <f>'Vypocty NAFTA'!H21*5%</f>
        <v>0</v>
      </c>
      <c r="I17" s="71">
        <f>'Vypocty NAFTA'!I21*5%</f>
        <v>0</v>
      </c>
      <c r="J17" s="71">
        <f>'Vypocty NAFTA'!J21*5%</f>
        <v>0</v>
      </c>
      <c r="K17" s="71">
        <f>'Vypocty NAFTA'!K21*-3%</f>
        <v>0</v>
      </c>
      <c r="L17" s="71">
        <f>'Vypocty NAFTA'!L21*-3%</f>
        <v>0</v>
      </c>
      <c r="M17" s="71">
        <f>'Vypocty NAFTA'!M21*-3%</f>
        <v>0</v>
      </c>
      <c r="N17" s="71"/>
      <c r="O17" s="50"/>
    </row>
    <row r="18" spans="2:15" s="10" customFormat="1" ht="12.75">
      <c r="B18" s="56">
        <v>19</v>
      </c>
      <c r="C18" s="47" t="s">
        <v>14</v>
      </c>
      <c r="D18" s="48"/>
      <c r="E18" s="71"/>
      <c r="F18" s="71"/>
      <c r="G18" s="71"/>
      <c r="H18" s="71">
        <f>'Vypocty NAFTA'!H22*5%</f>
        <v>0</v>
      </c>
      <c r="I18" s="71">
        <f>'Vypocty NAFTA'!I22*5%</f>
        <v>0</v>
      </c>
      <c r="J18" s="71">
        <f>'Vypocty NAFTA'!J22*5%</f>
        <v>0</v>
      </c>
      <c r="K18" s="71">
        <f>'Vypocty NAFTA'!K22*-3%</f>
        <v>0</v>
      </c>
      <c r="L18" s="71">
        <f>'Vypocty NAFTA'!L22*-3%</f>
        <v>0</v>
      </c>
      <c r="M18" s="71">
        <f>'Vypocty NAFTA'!M22*-3%</f>
        <v>0</v>
      </c>
      <c r="N18" s="71"/>
      <c r="O18" s="50"/>
    </row>
    <row r="19" spans="2:15" s="10" customFormat="1" ht="12.75">
      <c r="B19" s="56">
        <v>20</v>
      </c>
      <c r="C19" s="47" t="s">
        <v>15</v>
      </c>
      <c r="D19" s="48"/>
      <c r="E19" s="71"/>
      <c r="F19" s="71"/>
      <c r="G19" s="71"/>
      <c r="H19" s="71">
        <f>'Vypocty NAFTA'!H23*5%</f>
        <v>0</v>
      </c>
      <c r="I19" s="71">
        <f>'Vypocty NAFTA'!I23*5%</f>
        <v>0</v>
      </c>
      <c r="J19" s="71">
        <f>'Vypocty NAFTA'!J23*5%</f>
        <v>0</v>
      </c>
      <c r="K19" s="71">
        <f>'Vypocty NAFTA'!K23*-3%</f>
        <v>0</v>
      </c>
      <c r="L19" s="71">
        <f>'Vypocty NAFTA'!L23*-3%</f>
        <v>0</v>
      </c>
      <c r="M19" s="71">
        <f>'Vypocty NAFTA'!M23*-3%</f>
        <v>0</v>
      </c>
      <c r="N19" s="71"/>
      <c r="O19" s="50"/>
    </row>
    <row r="20" spans="2:15" s="10" customFormat="1" ht="12.75">
      <c r="B20" s="56">
        <v>21</v>
      </c>
      <c r="C20" s="47" t="s">
        <v>16</v>
      </c>
      <c r="D20" s="48"/>
      <c r="E20" s="71"/>
      <c r="F20" s="71"/>
      <c r="G20" s="71"/>
      <c r="H20" s="71">
        <f>'Vypocty NAFTA'!H24*5%</f>
        <v>0</v>
      </c>
      <c r="I20" s="71">
        <f>'Vypocty NAFTA'!I24*5%</f>
        <v>0</v>
      </c>
      <c r="J20" s="71">
        <f>'Vypocty NAFTA'!J24*5%</f>
        <v>0</v>
      </c>
      <c r="K20" s="71">
        <f>'Vypocty NAFTA'!K24*-3%</f>
        <v>0</v>
      </c>
      <c r="L20" s="71">
        <f>'Vypocty NAFTA'!L24*-3%</f>
        <v>0</v>
      </c>
      <c r="M20" s="71">
        <f>'Vypocty NAFTA'!M24*-3%</f>
        <v>0</v>
      </c>
      <c r="N20" s="71"/>
      <c r="O20" s="50"/>
    </row>
    <row r="21" spans="2:15" s="10" customFormat="1" ht="12.75">
      <c r="B21" s="56">
        <v>22</v>
      </c>
      <c r="C21" s="47" t="s">
        <v>17</v>
      </c>
      <c r="D21" s="48"/>
      <c r="E21" s="71"/>
      <c r="F21" s="71"/>
      <c r="G21" s="71"/>
      <c r="H21" s="71">
        <f>'Vypocty NAFTA'!H25*5%</f>
        <v>0</v>
      </c>
      <c r="I21" s="71">
        <f>'Vypocty NAFTA'!I25*5%</f>
        <v>0</v>
      </c>
      <c r="J21" s="71">
        <f>'Vypocty NAFTA'!J25*5%</f>
        <v>0</v>
      </c>
      <c r="K21" s="71">
        <f>'Vypocty NAFTA'!K25*-3%</f>
        <v>0</v>
      </c>
      <c r="L21" s="71">
        <f>'Vypocty NAFTA'!L25*-3%</f>
        <v>0</v>
      </c>
      <c r="M21" s="71">
        <f>'Vypocty NAFTA'!M25*-3%</f>
        <v>0</v>
      </c>
      <c r="N21" s="71"/>
      <c r="O21" s="50"/>
    </row>
    <row r="22" spans="2:15" s="10" customFormat="1" ht="12.75">
      <c r="B22" s="56">
        <v>23</v>
      </c>
      <c r="C22" s="47" t="s">
        <v>18</v>
      </c>
      <c r="D22" s="48"/>
      <c r="E22" s="71"/>
      <c r="F22" s="71"/>
      <c r="G22" s="71"/>
      <c r="H22" s="71">
        <f>'Vypocty NAFTA'!H26*5%</f>
        <v>0</v>
      </c>
      <c r="I22" s="71">
        <f>'Vypocty NAFTA'!I26*5%</f>
        <v>0</v>
      </c>
      <c r="J22" s="71">
        <f>'Vypocty NAFTA'!J26*5%</f>
        <v>0</v>
      </c>
      <c r="K22" s="71">
        <f>'Vypocty NAFTA'!K26*-3%</f>
        <v>0</v>
      </c>
      <c r="L22" s="71">
        <f>'Vypocty NAFTA'!L26*-3%</f>
        <v>0</v>
      </c>
      <c r="M22" s="71">
        <f>'Vypocty NAFTA'!M26*-3%</f>
        <v>0</v>
      </c>
      <c r="N22" s="71"/>
      <c r="O22" s="50"/>
    </row>
    <row r="23" spans="2:15" s="10" customFormat="1" ht="12.75">
      <c r="B23" s="56">
        <v>24</v>
      </c>
      <c r="C23" s="47" t="s">
        <v>19</v>
      </c>
      <c r="D23" s="48"/>
      <c r="E23" s="71"/>
      <c r="F23" s="71"/>
      <c r="G23" s="71"/>
      <c r="H23" s="71">
        <f>'Vypocty NAFTA'!H27*5%</f>
        <v>0</v>
      </c>
      <c r="I23" s="71">
        <f>'Vypocty NAFTA'!I27*5%</f>
        <v>0</v>
      </c>
      <c r="J23" s="71">
        <f>'Vypocty NAFTA'!J27*5%</f>
        <v>0</v>
      </c>
      <c r="K23" s="71">
        <f>'Vypocty NAFTA'!K27*-3%</f>
        <v>0</v>
      </c>
      <c r="L23" s="71">
        <f>'Vypocty NAFTA'!L27*-3%</f>
        <v>0</v>
      </c>
      <c r="M23" s="71">
        <f>'Vypocty NAFTA'!M27*-3%</f>
        <v>0</v>
      </c>
      <c r="N23" s="71"/>
      <c r="O23" s="50"/>
    </row>
    <row r="24" spans="2:15" s="10" customFormat="1" ht="12.75">
      <c r="B24" s="56">
        <v>25</v>
      </c>
      <c r="C24" s="47" t="s">
        <v>20</v>
      </c>
      <c r="D24" s="48"/>
      <c r="E24" s="71"/>
      <c r="F24" s="71"/>
      <c r="G24" s="71"/>
      <c r="H24" s="71">
        <f>'Vypocty NAFTA'!H28*5%</f>
        <v>0</v>
      </c>
      <c r="I24" s="71">
        <f>'Vypocty NAFTA'!I28*5%</f>
        <v>0</v>
      </c>
      <c r="J24" s="71">
        <f>'Vypocty NAFTA'!J28*5%</f>
        <v>0</v>
      </c>
      <c r="K24" s="71">
        <f>'Vypocty NAFTA'!K28*-3%</f>
        <v>0</v>
      </c>
      <c r="L24" s="71">
        <f>'Vypocty NAFTA'!L28*-3%</f>
        <v>0</v>
      </c>
      <c r="M24" s="71">
        <f>'Vypocty NAFTA'!M28*-3%</f>
        <v>0</v>
      </c>
      <c r="N24" s="71"/>
      <c r="O24" s="50"/>
    </row>
    <row r="25" spans="2:15" s="10" customFormat="1" ht="12.75">
      <c r="B25" s="67"/>
      <c r="C25" s="47" t="s">
        <v>84</v>
      </c>
      <c r="D25" s="48"/>
      <c r="E25" s="71"/>
      <c r="F25" s="71"/>
      <c r="G25" s="71"/>
      <c r="H25" s="71">
        <f>'Vypocty NAFTA'!H30*5%</f>
        <v>0</v>
      </c>
      <c r="I25" s="71">
        <f>'Vypocty NAFTA'!I30*5%</f>
        <v>0</v>
      </c>
      <c r="J25" s="71">
        <f>'Vypocty NAFTA'!J30*5%</f>
        <v>0</v>
      </c>
      <c r="K25" s="71">
        <f>'Vypocty NAFTA'!K30*-3%</f>
        <v>0</v>
      </c>
      <c r="L25" s="71">
        <f>'Vypocty NAFTA'!L30*-3%</f>
        <v>0</v>
      </c>
      <c r="M25" s="71">
        <f>'Vypocty NAFTA'!M30*-3%</f>
        <v>0</v>
      </c>
      <c r="N25" s="71"/>
      <c r="O25" s="50"/>
    </row>
    <row r="26" spans="1:15" ht="12.75" customHeight="1">
      <c r="A26" s="10"/>
      <c r="B26" s="10"/>
      <c r="C26" s="10"/>
      <c r="D26" s="10"/>
      <c r="E26" s="10"/>
      <c r="F26" s="10"/>
      <c r="G26" s="10"/>
      <c r="H26" s="10"/>
      <c r="I26" s="10"/>
      <c r="J26" s="10"/>
      <c r="K26" s="10"/>
      <c r="L26" s="10"/>
      <c r="M26" s="10"/>
      <c r="N26" s="10"/>
      <c r="O26" s="50"/>
    </row>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sheetData>
  <sheetProtection password="EEFD" sheet="1" scenarios="1" formatRows="0"/>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N99"/>
  <sheetViews>
    <sheetView zoomScaleSheetLayoutView="100" workbookViewId="0" topLeftCell="A37"/>
  </sheetViews>
  <sheetFormatPr defaultColWidth="0" defaultRowHeight="0" customHeight="1" zeroHeight="1"/>
  <cols>
    <col min="1" max="1" width="4.7109375" style="480" customWidth="1"/>
    <col min="2" max="2" width="6.7109375" style="480" customWidth="1"/>
    <col min="3" max="3" width="34.00390625" style="480" customWidth="1"/>
    <col min="4" max="4" width="13.421875" style="480" bestFit="1" customWidth="1"/>
    <col min="5" max="6" width="11.7109375" style="480" customWidth="1"/>
    <col min="7" max="9" width="11.7109375" style="518" customWidth="1"/>
    <col min="10" max="14" width="11.7109375" style="480" customWidth="1"/>
    <col min="15" max="15" width="4.7109375" style="480" customWidth="1"/>
    <col min="16" max="17" width="9.140625" style="480" hidden="1" customWidth="1"/>
    <col min="18" max="41" width="0" style="480" hidden="1" customWidth="1"/>
    <col min="42" max="16384" width="9.140625" style="480" hidden="1" customWidth="1"/>
  </cols>
  <sheetData>
    <row r="1" spans="1:15" s="341" customFormat="1" ht="12.75">
      <c r="A1" s="337"/>
      <c r="B1" s="337"/>
      <c r="C1" s="337"/>
      <c r="D1" s="337"/>
      <c r="E1" s="337"/>
      <c r="F1" s="337"/>
      <c r="G1" s="389"/>
      <c r="H1" s="389"/>
      <c r="I1" s="389"/>
      <c r="J1" s="337"/>
      <c r="K1" s="337"/>
      <c r="L1" s="337"/>
      <c r="M1" s="337"/>
      <c r="N1" s="337"/>
      <c r="O1" s="337"/>
    </row>
    <row r="2" spans="1:15" s="341" customFormat="1" ht="12.75">
      <c r="A2" s="337"/>
      <c r="B2" s="390" t="s">
        <v>136</v>
      </c>
      <c r="C2" s="390"/>
      <c r="D2" s="337"/>
      <c r="E2" s="337"/>
      <c r="F2" s="337"/>
      <c r="G2" s="389"/>
      <c r="H2" s="389"/>
      <c r="I2" s="389"/>
      <c r="J2" s="337"/>
      <c r="K2" s="391" t="s">
        <v>231</v>
      </c>
      <c r="L2" s="392"/>
      <c r="M2" s="392"/>
      <c r="N2" s="389"/>
      <c r="O2" s="337"/>
    </row>
    <row r="3" spans="1:15" s="341" customFormat="1" ht="12.75">
      <c r="A3" s="337"/>
      <c r="B3" s="390"/>
      <c r="C3" s="390"/>
      <c r="D3" s="337"/>
      <c r="E3" s="390"/>
      <c r="F3" s="337"/>
      <c r="G3" s="389"/>
      <c r="H3" s="389"/>
      <c r="I3" s="389"/>
      <c r="J3" s="337"/>
      <c r="K3" s="391" t="s">
        <v>232</v>
      </c>
      <c r="L3" s="392"/>
      <c r="M3" s="392"/>
      <c r="N3" s="337"/>
      <c r="O3" s="337"/>
    </row>
    <row r="4" spans="1:15" s="341" customFormat="1" ht="12.75">
      <c r="A4" s="337"/>
      <c r="B4" s="390" t="s">
        <v>50</v>
      </c>
      <c r="C4" s="337"/>
      <c r="D4" s="337"/>
      <c r="E4" s="337"/>
      <c r="F4" s="337"/>
      <c r="G4" s="337"/>
      <c r="H4" s="337"/>
      <c r="I4" s="337"/>
      <c r="J4" s="337"/>
      <c r="K4" s="337"/>
      <c r="L4" s="337"/>
      <c r="M4" s="337"/>
      <c r="N4" s="337"/>
      <c r="O4" s="337"/>
    </row>
    <row r="5" spans="1:15" s="341" customFormat="1" ht="12.75">
      <c r="A5" s="337"/>
      <c r="B5" s="339"/>
      <c r="C5" s="339"/>
      <c r="D5" s="339"/>
      <c r="E5" s="339"/>
      <c r="F5" s="339"/>
      <c r="G5" s="339"/>
      <c r="H5" s="339"/>
      <c r="I5" s="339"/>
      <c r="J5" s="337"/>
      <c r="K5" s="337"/>
      <c r="L5" s="337"/>
      <c r="M5" s="337"/>
      <c r="N5" s="337"/>
      <c r="O5" s="337"/>
    </row>
    <row r="6" spans="1:15" s="341" customFormat="1" ht="12.75">
      <c r="A6" s="337"/>
      <c r="B6" s="339" t="s">
        <v>272</v>
      </c>
      <c r="C6" s="342"/>
      <c r="D6" s="339"/>
      <c r="E6" s="339"/>
      <c r="F6" s="339"/>
      <c r="G6" s="339"/>
      <c r="H6" s="393">
        <v>2016</v>
      </c>
      <c r="I6" s="339"/>
      <c r="J6" s="337"/>
      <c r="K6" s="337"/>
      <c r="L6" s="337"/>
      <c r="M6" s="337"/>
      <c r="N6" s="337"/>
      <c r="O6" s="337"/>
    </row>
    <row r="7" spans="1:15" s="341" customFormat="1" ht="12.75">
      <c r="A7" s="337"/>
      <c r="B7" s="394" t="s">
        <v>195</v>
      </c>
      <c r="C7" s="394"/>
      <c r="D7" s="394"/>
      <c r="E7" s="394"/>
      <c r="F7" s="394"/>
      <c r="G7" s="394"/>
      <c r="H7" s="394">
        <v>1</v>
      </c>
      <c r="I7" s="339"/>
      <c r="J7" s="337"/>
      <c r="K7" s="337"/>
      <c r="L7" s="337"/>
      <c r="M7" s="337"/>
      <c r="N7" s="337"/>
      <c r="O7" s="337"/>
    </row>
    <row r="8" spans="1:15" s="341" customFormat="1" ht="12.75">
      <c r="A8" s="337"/>
      <c r="B8" s="342" t="s">
        <v>69</v>
      </c>
      <c r="C8" s="339"/>
      <c r="D8" s="339"/>
      <c r="E8" s="339"/>
      <c r="F8" s="395">
        <v>-0.05</v>
      </c>
      <c r="G8" s="396" t="s">
        <v>70</v>
      </c>
      <c r="H8" s="395">
        <v>0.05</v>
      </c>
      <c r="I8" s="339"/>
      <c r="J8" s="337"/>
      <c r="K8" s="337"/>
      <c r="L8" s="337"/>
      <c r="M8" s="337"/>
      <c r="N8" s="337"/>
      <c r="O8" s="337"/>
    </row>
    <row r="9" spans="1:15" s="341" customFormat="1" ht="12.75">
      <c r="A9" s="337"/>
      <c r="B9" s="339"/>
      <c r="C9" s="339"/>
      <c r="D9" s="339"/>
      <c r="E9" s="339"/>
      <c r="F9" s="339"/>
      <c r="G9" s="339"/>
      <c r="H9" s="339"/>
      <c r="I9" s="339"/>
      <c r="J9" s="337"/>
      <c r="K9" s="337"/>
      <c r="L9" s="337"/>
      <c r="M9" s="337"/>
      <c r="N9" s="337"/>
      <c r="O9" s="337"/>
    </row>
    <row r="10" spans="1:15" s="341" customFormat="1" ht="12.75">
      <c r="A10" s="337"/>
      <c r="B10" s="339" t="s">
        <v>196</v>
      </c>
      <c r="C10" s="339"/>
      <c r="D10" s="339"/>
      <c r="E10" s="339"/>
      <c r="F10" s="339"/>
      <c r="G10" s="339"/>
      <c r="H10" s="397">
        <v>2694453</v>
      </c>
      <c r="I10" s="339"/>
      <c r="J10" s="337"/>
      <c r="K10" s="337"/>
      <c r="L10" s="337"/>
      <c r="M10" s="337"/>
      <c r="N10" s="337"/>
      <c r="O10" s="337"/>
    </row>
    <row r="11" spans="1:15" s="341" customFormat="1" ht="12.75">
      <c r="A11" s="337"/>
      <c r="B11" s="339"/>
      <c r="C11" s="339"/>
      <c r="D11" s="339"/>
      <c r="E11" s="339"/>
      <c r="F11" s="339"/>
      <c r="G11" s="339"/>
      <c r="H11" s="339"/>
      <c r="I11" s="339"/>
      <c r="J11" s="337"/>
      <c r="K11" s="337"/>
      <c r="L11" s="337"/>
      <c r="M11" s="337"/>
      <c r="N11" s="337"/>
      <c r="O11" s="337"/>
    </row>
    <row r="12" spans="1:15" s="341" customFormat="1" ht="12.75">
      <c r="A12" s="337"/>
      <c r="B12" s="339" t="s">
        <v>197</v>
      </c>
      <c r="C12" s="339"/>
      <c r="D12" s="339"/>
      <c r="E12" s="339"/>
      <c r="F12" s="339"/>
      <c r="G12" s="339"/>
      <c r="H12" s="398"/>
      <c r="I12" s="339"/>
      <c r="J12" s="337"/>
      <c r="K12" s="337"/>
      <c r="L12" s="337"/>
      <c r="M12" s="337"/>
      <c r="N12" s="337"/>
      <c r="O12" s="337"/>
    </row>
    <row r="13" spans="1:15" s="341" customFormat="1" ht="12.75">
      <c r="A13" s="337"/>
      <c r="B13" s="339"/>
      <c r="C13" s="339"/>
      <c r="D13" s="339"/>
      <c r="E13" s="398" t="s">
        <v>109</v>
      </c>
      <c r="F13" s="339" t="s">
        <v>119</v>
      </c>
      <c r="G13" s="339"/>
      <c r="H13" s="399">
        <v>34</v>
      </c>
      <c r="I13" s="339"/>
      <c r="J13" s="337"/>
      <c r="K13" s="337"/>
      <c r="L13" s="337"/>
      <c r="M13" s="337"/>
      <c r="N13" s="337"/>
      <c r="O13" s="337"/>
    </row>
    <row r="14" spans="1:15" s="341" customFormat="1" ht="12.75">
      <c r="A14" s="337"/>
      <c r="B14" s="339"/>
      <c r="C14" s="339"/>
      <c r="D14" s="339"/>
      <c r="E14" s="339"/>
      <c r="F14" s="339" t="s">
        <v>108</v>
      </c>
      <c r="G14" s="339"/>
      <c r="H14" s="399">
        <v>34</v>
      </c>
      <c r="I14" s="339"/>
      <c r="J14" s="337"/>
      <c r="K14" s="337"/>
      <c r="L14" s="337"/>
      <c r="M14" s="337"/>
      <c r="N14" s="337"/>
      <c r="O14" s="337"/>
    </row>
    <row r="15" spans="1:15" s="341" customFormat="1" ht="12.75">
      <c r="A15" s="337"/>
      <c r="B15" s="339"/>
      <c r="C15" s="339"/>
      <c r="D15" s="339"/>
      <c r="E15" s="339"/>
      <c r="F15" s="339" t="s">
        <v>260</v>
      </c>
      <c r="G15" s="339"/>
      <c r="H15" s="399">
        <v>34</v>
      </c>
      <c r="I15" s="339"/>
      <c r="J15" s="337"/>
      <c r="K15" s="337"/>
      <c r="L15" s="337"/>
      <c r="M15" s="337"/>
      <c r="N15" s="337"/>
      <c r="O15" s="337"/>
    </row>
    <row r="16" spans="1:15" s="341" customFormat="1" ht="12.75">
      <c r="A16" s="337"/>
      <c r="B16" s="338"/>
      <c r="C16" s="339"/>
      <c r="D16" s="339"/>
      <c r="E16" s="339"/>
      <c r="F16" s="339"/>
      <c r="G16" s="339"/>
      <c r="H16" s="340"/>
      <c r="I16" s="339"/>
      <c r="J16" s="337"/>
      <c r="K16" s="337"/>
      <c r="L16" s="337"/>
      <c r="M16" s="337"/>
      <c r="N16" s="337"/>
      <c r="O16" s="337"/>
    </row>
    <row r="17" spans="1:15" s="341" customFormat="1" ht="12.75">
      <c r="A17" s="337"/>
      <c r="B17" s="342" t="s">
        <v>227</v>
      </c>
      <c r="C17" s="339"/>
      <c r="D17" s="339"/>
      <c r="E17" s="339"/>
      <c r="F17" s="339"/>
      <c r="G17" s="339"/>
      <c r="H17" s="399">
        <v>1.1</v>
      </c>
      <c r="I17" s="339"/>
      <c r="J17" s="337"/>
      <c r="K17" s="337"/>
      <c r="L17" s="337"/>
      <c r="M17" s="337"/>
      <c r="N17" s="337"/>
      <c r="O17" s="337"/>
    </row>
    <row r="18" spans="1:15" s="341" customFormat="1" ht="12.75">
      <c r="A18" s="337"/>
      <c r="B18" s="342" t="s">
        <v>274</v>
      </c>
      <c r="C18" s="339"/>
      <c r="D18" s="339"/>
      <c r="E18" s="339"/>
      <c r="F18" s="339"/>
      <c r="G18" s="339"/>
      <c r="H18" s="519">
        <v>0.03196</v>
      </c>
      <c r="I18" s="339"/>
      <c r="J18" s="337"/>
      <c r="K18" s="337"/>
      <c r="L18" s="337"/>
      <c r="M18" s="337"/>
      <c r="N18" s="337"/>
      <c r="O18" s="337"/>
    </row>
    <row r="19" spans="1:15" s="341" customFormat="1" ht="12.75">
      <c r="A19" s="337"/>
      <c r="B19" s="342"/>
      <c r="C19" s="339"/>
      <c r="D19" s="339"/>
      <c r="E19" s="339"/>
      <c r="F19" s="339"/>
      <c r="G19" s="339"/>
      <c r="H19" s="339"/>
      <c r="I19" s="339"/>
      <c r="J19" s="337"/>
      <c r="K19" s="337"/>
      <c r="L19" s="337"/>
      <c r="M19" s="337"/>
      <c r="N19" s="337"/>
      <c r="O19" s="337"/>
    </row>
    <row r="20" spans="1:15" s="341" customFormat="1" ht="12.75">
      <c r="A20" s="337"/>
      <c r="B20" s="342" t="s">
        <v>266</v>
      </c>
      <c r="C20" s="339"/>
      <c r="D20" s="339"/>
      <c r="E20" s="339"/>
      <c r="F20" s="339"/>
      <c r="G20" s="339"/>
      <c r="H20" s="395">
        <v>-0.1</v>
      </c>
      <c r="I20" s="339"/>
      <c r="J20" s="337"/>
      <c r="K20" s="337"/>
      <c r="L20" s="337"/>
      <c r="M20" s="337"/>
      <c r="N20" s="337"/>
      <c r="O20" s="337"/>
    </row>
    <row r="21" spans="1:15" s="341" customFormat="1" ht="12.75">
      <c r="A21" s="337"/>
      <c r="B21" s="342" t="s">
        <v>110</v>
      </c>
      <c r="C21" s="339"/>
      <c r="D21" s="339"/>
      <c r="E21" s="339"/>
      <c r="F21" s="339"/>
      <c r="G21" s="339"/>
      <c r="H21" s="400">
        <v>36</v>
      </c>
      <c r="I21" s="339"/>
      <c r="J21" s="337"/>
      <c r="K21" s="337"/>
      <c r="L21" s="337"/>
      <c r="M21" s="337"/>
      <c r="N21" s="337"/>
      <c r="O21" s="337"/>
    </row>
    <row r="22" spans="1:15" s="341" customFormat="1" ht="12.75">
      <c r="A22" s="337"/>
      <c r="B22" s="342"/>
      <c r="C22" s="339"/>
      <c r="D22" s="339"/>
      <c r="E22" s="339"/>
      <c r="F22" s="339"/>
      <c r="G22" s="339"/>
      <c r="H22" s="401"/>
      <c r="I22" s="339"/>
      <c r="J22" s="337"/>
      <c r="K22" s="337"/>
      <c r="L22" s="337"/>
      <c r="M22" s="337"/>
      <c r="N22" s="337"/>
      <c r="O22" s="337"/>
    </row>
    <row r="23" spans="1:15" s="341" customFormat="1" ht="12.75">
      <c r="A23" s="337"/>
      <c r="B23" s="342" t="s">
        <v>239</v>
      </c>
      <c r="C23" s="339"/>
      <c r="D23" s="339"/>
      <c r="E23" s="339"/>
      <c r="F23" s="339"/>
      <c r="G23" s="339"/>
      <c r="H23" s="395">
        <v>0.25</v>
      </c>
      <c r="I23" s="339"/>
      <c r="J23" s="337"/>
      <c r="K23" s="337"/>
      <c r="L23" s="337"/>
      <c r="M23" s="337"/>
      <c r="N23" s="337"/>
      <c r="O23" s="337"/>
    </row>
    <row r="24" spans="1:15" s="341" customFormat="1" ht="12.75">
      <c r="A24" s="337"/>
      <c r="B24" s="342"/>
      <c r="C24" s="339"/>
      <c r="D24" s="339"/>
      <c r="E24" s="339"/>
      <c r="F24" s="339"/>
      <c r="G24" s="339"/>
      <c r="H24" s="402"/>
      <c r="I24" s="339"/>
      <c r="J24" s="337"/>
      <c r="K24" s="337"/>
      <c r="L24" s="337"/>
      <c r="M24" s="337"/>
      <c r="N24" s="337"/>
      <c r="O24" s="337"/>
    </row>
    <row r="25" spans="1:15" s="341" customFormat="1" ht="12.75">
      <c r="A25" s="337"/>
      <c r="B25" s="342" t="s">
        <v>116</v>
      </c>
      <c r="C25" s="339"/>
      <c r="D25" s="339"/>
      <c r="E25" s="339"/>
      <c r="F25" s="339"/>
      <c r="G25" s="339"/>
      <c r="H25" s="339"/>
      <c r="I25" s="339"/>
      <c r="J25" s="337"/>
      <c r="K25" s="337"/>
      <c r="L25" s="337"/>
      <c r="M25" s="337"/>
      <c r="N25" s="337"/>
      <c r="O25" s="337"/>
    </row>
    <row r="26" spans="1:15" s="341" customFormat="1" ht="12.75">
      <c r="A26" s="337"/>
      <c r="B26" s="342" t="s">
        <v>117</v>
      </c>
      <c r="C26" s="339"/>
      <c r="D26" s="339"/>
      <c r="E26" s="339"/>
      <c r="F26" s="339"/>
      <c r="G26" s="339"/>
      <c r="H26" s="403">
        <v>0.01</v>
      </c>
      <c r="I26" s="339"/>
      <c r="J26" s="337"/>
      <c r="K26" s="337"/>
      <c r="L26" s="337"/>
      <c r="M26" s="337"/>
      <c r="N26" s="337"/>
      <c r="O26" s="337"/>
    </row>
    <row r="27" spans="1:15" s="341" customFormat="1" ht="12.75">
      <c r="A27" s="337"/>
      <c r="B27" s="342"/>
      <c r="C27" s="339"/>
      <c r="D27" s="339"/>
      <c r="E27" s="339"/>
      <c r="F27" s="339"/>
      <c r="G27" s="339"/>
      <c r="H27" s="404"/>
      <c r="I27" s="339"/>
      <c r="J27" s="337"/>
      <c r="K27" s="337"/>
      <c r="L27" s="337"/>
      <c r="M27" s="337"/>
      <c r="N27" s="337"/>
      <c r="O27" s="337"/>
    </row>
    <row r="28" spans="1:15" s="341" customFormat="1" ht="12.75">
      <c r="A28" s="337"/>
      <c r="B28" s="405"/>
      <c r="C28" s="337"/>
      <c r="D28" s="337"/>
      <c r="E28" s="337"/>
      <c r="F28" s="337"/>
      <c r="G28" s="337"/>
      <c r="H28" s="406"/>
      <c r="I28" s="337"/>
      <c r="J28" s="337"/>
      <c r="K28" s="337"/>
      <c r="L28" s="337"/>
      <c r="M28" s="337"/>
      <c r="N28" s="337"/>
      <c r="O28" s="337"/>
    </row>
    <row r="29" spans="1:15" s="341" customFormat="1" ht="12.75">
      <c r="A29" s="337"/>
      <c r="B29" s="390" t="s">
        <v>233</v>
      </c>
      <c r="C29" s="390"/>
      <c r="D29" s="337"/>
      <c r="E29" s="390"/>
      <c r="F29" s="337"/>
      <c r="G29" s="389"/>
      <c r="H29" s="389"/>
      <c r="I29" s="389"/>
      <c r="J29" s="337"/>
      <c r="K29" s="390"/>
      <c r="L29" s="337"/>
      <c r="M29" s="337"/>
      <c r="N29" s="337"/>
      <c r="O29" s="337"/>
    </row>
    <row r="30" spans="1:15" s="341" customFormat="1" ht="13.5" thickBot="1">
      <c r="A30" s="337"/>
      <c r="B30" s="390"/>
      <c r="C30" s="390"/>
      <c r="D30" s="337"/>
      <c r="E30" s="390"/>
      <c r="F30" s="337"/>
      <c r="G30" s="389"/>
      <c r="H30" s="389"/>
      <c r="I30" s="389"/>
      <c r="J30" s="337"/>
      <c r="K30" s="390"/>
      <c r="L30" s="337"/>
      <c r="M30" s="337"/>
      <c r="N30" s="337"/>
      <c r="O30" s="337"/>
    </row>
    <row r="31" spans="1:15" s="341" customFormat="1" ht="12.75">
      <c r="A31" s="337"/>
      <c r="B31" s="584" t="s">
        <v>35</v>
      </c>
      <c r="C31" s="586" t="s">
        <v>36</v>
      </c>
      <c r="D31" s="587"/>
      <c r="E31" s="590" t="s">
        <v>38</v>
      </c>
      <c r="F31" s="590" t="s">
        <v>37</v>
      </c>
      <c r="G31" s="592" t="s">
        <v>234</v>
      </c>
      <c r="H31" s="592" t="s">
        <v>102</v>
      </c>
      <c r="I31" s="595" t="s">
        <v>103</v>
      </c>
      <c r="J31" s="337"/>
      <c r="K31" s="337"/>
      <c r="L31" s="337"/>
      <c r="M31" s="337"/>
      <c r="N31" s="337"/>
      <c r="O31" s="337"/>
    </row>
    <row r="32" spans="1:15" s="408" customFormat="1" ht="25.5" customHeight="1">
      <c r="A32" s="407"/>
      <c r="B32" s="585"/>
      <c r="C32" s="588"/>
      <c r="D32" s="589"/>
      <c r="E32" s="591"/>
      <c r="F32" s="591"/>
      <c r="G32" s="591"/>
      <c r="H32" s="591"/>
      <c r="I32" s="596"/>
      <c r="J32" s="337"/>
      <c r="K32" s="337"/>
      <c r="L32" s="337"/>
      <c r="M32" s="337"/>
      <c r="N32" s="407"/>
      <c r="O32" s="407"/>
    </row>
    <row r="33" spans="1:15" s="414" customFormat="1" ht="13.5" thickBot="1">
      <c r="A33" s="409"/>
      <c r="B33" s="410"/>
      <c r="C33" s="597"/>
      <c r="D33" s="598"/>
      <c r="E33" s="411"/>
      <c r="F33" s="411"/>
      <c r="G33" s="412" t="s">
        <v>39</v>
      </c>
      <c r="H33" s="412" t="s">
        <v>39</v>
      </c>
      <c r="I33" s="413" t="s">
        <v>39</v>
      </c>
      <c r="J33" s="337"/>
      <c r="K33" s="337"/>
      <c r="L33" s="337"/>
      <c r="M33" s="337"/>
      <c r="N33" s="409"/>
      <c r="O33" s="409"/>
    </row>
    <row r="34" spans="1:15" s="341" customFormat="1" ht="13.5" thickTop="1">
      <c r="A34" s="337"/>
      <c r="B34" s="415">
        <v>11</v>
      </c>
      <c r="C34" s="599" t="s">
        <v>124</v>
      </c>
      <c r="D34" s="600"/>
      <c r="E34" s="416" t="s">
        <v>22</v>
      </c>
      <c r="F34" s="417" t="s">
        <v>119</v>
      </c>
      <c r="G34" s="418">
        <v>1</v>
      </c>
      <c r="H34" s="418">
        <v>0</v>
      </c>
      <c r="I34" s="419">
        <f>100%-G34-H34</f>
        <v>0</v>
      </c>
      <c r="J34" s="337"/>
      <c r="K34" s="337"/>
      <c r="L34" s="337"/>
      <c r="M34" s="337"/>
      <c r="N34" s="337"/>
      <c r="O34" s="337"/>
    </row>
    <row r="35" spans="1:15" s="341" customFormat="1" ht="12.75">
      <c r="A35" s="337"/>
      <c r="B35" s="420"/>
      <c r="C35" s="601"/>
      <c r="D35" s="602"/>
      <c r="E35" s="421" t="s">
        <v>23</v>
      </c>
      <c r="F35" s="422" t="s">
        <v>108</v>
      </c>
      <c r="G35" s="418">
        <v>1</v>
      </c>
      <c r="H35" s="418">
        <v>0</v>
      </c>
      <c r="I35" s="419">
        <f>100%-G35-H35</f>
        <v>0</v>
      </c>
      <c r="J35" s="337"/>
      <c r="K35" s="337"/>
      <c r="L35" s="337"/>
      <c r="M35" s="337"/>
      <c r="N35" s="337"/>
      <c r="O35" s="337"/>
    </row>
    <row r="36" spans="1:15" s="341" customFormat="1" ht="12.75">
      <c r="A36" s="337"/>
      <c r="B36" s="420"/>
      <c r="C36" s="601"/>
      <c r="D36" s="602"/>
      <c r="E36" s="421" t="s">
        <v>24</v>
      </c>
      <c r="F36" s="422" t="s">
        <v>260</v>
      </c>
      <c r="G36" s="418">
        <v>1</v>
      </c>
      <c r="H36" s="418">
        <v>0</v>
      </c>
      <c r="I36" s="419">
        <f>100%-G36-H36</f>
        <v>0</v>
      </c>
      <c r="J36" s="337"/>
      <c r="K36" s="337"/>
      <c r="L36" s="337"/>
      <c r="M36" s="337"/>
      <c r="N36" s="337"/>
      <c r="O36" s="337"/>
    </row>
    <row r="37" spans="1:15" s="341" customFormat="1" ht="12.75">
      <c r="A37" s="337"/>
      <c r="B37" s="423"/>
      <c r="C37" s="603"/>
      <c r="D37" s="604"/>
      <c r="E37" s="421" t="s">
        <v>123</v>
      </c>
      <c r="F37" s="422" t="s">
        <v>25</v>
      </c>
      <c r="G37" s="418">
        <v>1</v>
      </c>
      <c r="H37" s="418">
        <v>0</v>
      </c>
      <c r="I37" s="419">
        <f>100%-G37-H37</f>
        <v>0</v>
      </c>
      <c r="J37" s="337"/>
      <c r="K37" s="337"/>
      <c r="L37" s="337"/>
      <c r="M37" s="337"/>
      <c r="N37" s="337"/>
      <c r="O37" s="337"/>
    </row>
    <row r="38" spans="1:15" s="341" customFormat="1" ht="12.75">
      <c r="A38" s="337"/>
      <c r="B38" s="424">
        <v>12</v>
      </c>
      <c r="C38" s="605" t="s">
        <v>8</v>
      </c>
      <c r="D38" s="606"/>
      <c r="E38" s="425"/>
      <c r="F38" s="426"/>
      <c r="G38" s="418">
        <v>1</v>
      </c>
      <c r="H38" s="418">
        <v>0</v>
      </c>
      <c r="I38" s="419">
        <f aca="true" t="shared" si="0" ref="I38:I50">100%-G38-H38</f>
        <v>0</v>
      </c>
      <c r="J38" s="337"/>
      <c r="K38" s="337"/>
      <c r="L38" s="337"/>
      <c r="M38" s="337"/>
      <c r="N38" s="337"/>
      <c r="O38" s="337"/>
    </row>
    <row r="39" spans="1:15" s="341" customFormat="1" ht="12.75">
      <c r="A39" s="337"/>
      <c r="B39" s="424">
        <v>13</v>
      </c>
      <c r="C39" s="605" t="s">
        <v>9</v>
      </c>
      <c r="D39" s="606"/>
      <c r="E39" s="425"/>
      <c r="F39" s="426"/>
      <c r="G39" s="427"/>
      <c r="H39" s="428">
        <v>0</v>
      </c>
      <c r="I39" s="429"/>
      <c r="J39" s="337"/>
      <c r="K39" s="337"/>
      <c r="L39" s="337"/>
      <c r="M39" s="337"/>
      <c r="N39" s="337"/>
      <c r="O39" s="337"/>
    </row>
    <row r="40" spans="1:15" s="341" customFormat="1" ht="12.75">
      <c r="A40" s="337"/>
      <c r="B40" s="430">
        <v>14</v>
      </c>
      <c r="C40" s="593" t="s">
        <v>10</v>
      </c>
      <c r="D40" s="594"/>
      <c r="E40" s="421" t="s">
        <v>28</v>
      </c>
      <c r="F40" s="422" t="s">
        <v>26</v>
      </c>
      <c r="G40" s="428">
        <v>0</v>
      </c>
      <c r="H40" s="428">
        <v>1</v>
      </c>
      <c r="I40" s="429">
        <f t="shared" si="0"/>
        <v>0</v>
      </c>
      <c r="J40" s="337"/>
      <c r="K40" s="337"/>
      <c r="L40" s="337"/>
      <c r="M40" s="337"/>
      <c r="N40" s="337"/>
      <c r="O40" s="337"/>
    </row>
    <row r="41" spans="1:15" s="341" customFormat="1" ht="12.75">
      <c r="A41" s="337"/>
      <c r="B41" s="423"/>
      <c r="C41" s="603"/>
      <c r="D41" s="604"/>
      <c r="E41" s="421" t="s">
        <v>29</v>
      </c>
      <c r="F41" s="422" t="s">
        <v>25</v>
      </c>
      <c r="G41" s="427"/>
      <c r="H41" s="428">
        <v>0</v>
      </c>
      <c r="I41" s="429"/>
      <c r="J41" s="337"/>
      <c r="K41" s="337"/>
      <c r="L41" s="337"/>
      <c r="M41" s="337"/>
      <c r="N41" s="337"/>
      <c r="O41" s="337"/>
    </row>
    <row r="42" spans="1:15" s="341" customFormat="1" ht="12.75">
      <c r="A42" s="337"/>
      <c r="B42" s="424">
        <v>15</v>
      </c>
      <c r="C42" s="605" t="s">
        <v>42</v>
      </c>
      <c r="D42" s="606"/>
      <c r="E42" s="607"/>
      <c r="F42" s="608"/>
      <c r="G42" s="428">
        <v>0</v>
      </c>
      <c r="H42" s="428">
        <v>1</v>
      </c>
      <c r="I42" s="429">
        <f t="shared" si="0"/>
        <v>0</v>
      </c>
      <c r="J42" s="337"/>
      <c r="K42" s="337"/>
      <c r="L42" s="337"/>
      <c r="M42" s="337"/>
      <c r="N42" s="337"/>
      <c r="O42" s="337"/>
    </row>
    <row r="43" spans="1:15" s="341" customFormat="1" ht="12.75">
      <c r="A43" s="337"/>
      <c r="B43" s="430">
        <v>16</v>
      </c>
      <c r="C43" s="593" t="s">
        <v>11</v>
      </c>
      <c r="D43" s="594"/>
      <c r="E43" s="421" t="s">
        <v>30</v>
      </c>
      <c r="F43" s="422" t="s">
        <v>27</v>
      </c>
      <c r="G43" s="418">
        <f>2/3</f>
        <v>0.6666666666666666</v>
      </c>
      <c r="H43" s="418">
        <f>1/3</f>
        <v>0.3333333333333333</v>
      </c>
      <c r="I43" s="419">
        <f t="shared" si="0"/>
        <v>0</v>
      </c>
      <c r="J43" s="337"/>
      <c r="K43" s="337"/>
      <c r="L43" s="337"/>
      <c r="M43" s="337"/>
      <c r="N43" s="337"/>
      <c r="O43" s="337"/>
    </row>
    <row r="44" spans="1:15" s="341" customFormat="1" ht="12.75">
      <c r="A44" s="337"/>
      <c r="B44" s="423"/>
      <c r="C44" s="603"/>
      <c r="D44" s="604"/>
      <c r="E44" s="421" t="s">
        <v>31</v>
      </c>
      <c r="F44" s="422" t="s">
        <v>25</v>
      </c>
      <c r="G44" s="427"/>
      <c r="H44" s="427"/>
      <c r="I44" s="429"/>
      <c r="J44" s="337"/>
      <c r="K44" s="337"/>
      <c r="L44" s="337"/>
      <c r="M44" s="337"/>
      <c r="N44" s="337"/>
      <c r="O44" s="337"/>
    </row>
    <row r="45" spans="1:15" s="341" customFormat="1" ht="12.75">
      <c r="A45" s="337"/>
      <c r="B45" s="430">
        <v>17</v>
      </c>
      <c r="C45" s="593" t="s">
        <v>12</v>
      </c>
      <c r="D45" s="594"/>
      <c r="E45" s="421" t="s">
        <v>40</v>
      </c>
      <c r="F45" s="422" t="s">
        <v>27</v>
      </c>
      <c r="G45" s="427">
        <f>G43</f>
        <v>0.6666666666666666</v>
      </c>
      <c r="H45" s="427">
        <f aca="true" t="shared" si="1" ref="H45">H43</f>
        <v>0.3333333333333333</v>
      </c>
      <c r="I45" s="419">
        <f t="shared" si="0"/>
        <v>0</v>
      </c>
      <c r="J45" s="337"/>
      <c r="K45" s="337"/>
      <c r="L45" s="337"/>
      <c r="M45" s="337"/>
      <c r="N45" s="337"/>
      <c r="O45" s="337"/>
    </row>
    <row r="46" spans="1:15" s="341" customFormat="1" ht="12.75">
      <c r="A46" s="337"/>
      <c r="B46" s="423"/>
      <c r="C46" s="603"/>
      <c r="D46" s="604"/>
      <c r="E46" s="421" t="s">
        <v>41</v>
      </c>
      <c r="F46" s="422" t="s">
        <v>25</v>
      </c>
      <c r="G46" s="431"/>
      <c r="H46" s="427"/>
      <c r="I46" s="429"/>
      <c r="J46" s="337"/>
      <c r="K46" s="337"/>
      <c r="L46" s="337"/>
      <c r="M46" s="337"/>
      <c r="N46" s="337"/>
      <c r="O46" s="337"/>
    </row>
    <row r="47" spans="1:15" s="341" customFormat="1" ht="12.75">
      <c r="A47" s="337"/>
      <c r="B47" s="424">
        <v>18</v>
      </c>
      <c r="C47" s="605" t="s">
        <v>13</v>
      </c>
      <c r="D47" s="606"/>
      <c r="E47" s="425"/>
      <c r="F47" s="426"/>
      <c r="G47" s="427"/>
      <c r="H47" s="428">
        <v>0</v>
      </c>
      <c r="I47" s="429"/>
      <c r="J47" s="337"/>
      <c r="K47" s="337"/>
      <c r="L47" s="337"/>
      <c r="M47" s="337"/>
      <c r="N47" s="337"/>
      <c r="O47" s="337"/>
    </row>
    <row r="48" spans="1:15" s="341" customFormat="1" ht="12.75">
      <c r="A48" s="337"/>
      <c r="B48" s="424">
        <v>19</v>
      </c>
      <c r="C48" s="605" t="s">
        <v>14</v>
      </c>
      <c r="D48" s="606"/>
      <c r="E48" s="425"/>
      <c r="F48" s="426"/>
      <c r="G48" s="427"/>
      <c r="H48" s="428">
        <v>0</v>
      </c>
      <c r="I48" s="429"/>
      <c r="J48" s="337"/>
      <c r="K48" s="337"/>
      <c r="L48" s="337"/>
      <c r="M48" s="337"/>
      <c r="N48" s="337"/>
      <c r="O48" s="337"/>
    </row>
    <row r="49" spans="1:15" s="341" customFormat="1" ht="12.75">
      <c r="A49" s="337"/>
      <c r="B49" s="424">
        <v>20</v>
      </c>
      <c r="C49" s="605" t="s">
        <v>15</v>
      </c>
      <c r="D49" s="606"/>
      <c r="E49" s="425"/>
      <c r="F49" s="426"/>
      <c r="G49" s="428">
        <v>0</v>
      </c>
      <c r="H49" s="428">
        <v>1</v>
      </c>
      <c r="I49" s="429">
        <f t="shared" si="0"/>
        <v>0</v>
      </c>
      <c r="J49" s="337"/>
      <c r="K49" s="337"/>
      <c r="L49" s="337"/>
      <c r="M49" s="337"/>
      <c r="N49" s="337"/>
      <c r="O49" s="337"/>
    </row>
    <row r="50" spans="1:15" s="341" customFormat="1" ht="12.75">
      <c r="A50" s="337"/>
      <c r="B50" s="424">
        <v>21</v>
      </c>
      <c r="C50" s="605" t="s">
        <v>16</v>
      </c>
      <c r="D50" s="606"/>
      <c r="E50" s="425"/>
      <c r="F50" s="426"/>
      <c r="G50" s="428">
        <v>1</v>
      </c>
      <c r="H50" s="428">
        <v>0</v>
      </c>
      <c r="I50" s="429">
        <f t="shared" si="0"/>
        <v>0</v>
      </c>
      <c r="J50" s="337"/>
      <c r="K50" s="337"/>
      <c r="L50" s="337"/>
      <c r="M50" s="337"/>
      <c r="N50" s="337"/>
      <c r="O50" s="337"/>
    </row>
    <row r="51" spans="1:15" s="341" customFormat="1" ht="12.75">
      <c r="A51" s="337"/>
      <c r="B51" s="424">
        <v>22</v>
      </c>
      <c r="C51" s="605" t="s">
        <v>17</v>
      </c>
      <c r="D51" s="606"/>
      <c r="E51" s="425"/>
      <c r="F51" s="426"/>
      <c r="G51" s="427"/>
      <c r="H51" s="427"/>
      <c r="I51" s="429"/>
      <c r="J51" s="337"/>
      <c r="K51" s="337"/>
      <c r="L51" s="337"/>
      <c r="M51" s="337"/>
      <c r="N51" s="337"/>
      <c r="O51" s="337"/>
    </row>
    <row r="52" spans="1:15" s="341" customFormat="1" ht="12.75">
      <c r="A52" s="337"/>
      <c r="B52" s="424">
        <v>23</v>
      </c>
      <c r="C52" s="605" t="s">
        <v>18</v>
      </c>
      <c r="D52" s="606"/>
      <c r="E52" s="425"/>
      <c r="F52" s="426"/>
      <c r="G52" s="427"/>
      <c r="H52" s="427"/>
      <c r="I52" s="429"/>
      <c r="J52" s="337"/>
      <c r="K52" s="337"/>
      <c r="L52" s="337"/>
      <c r="M52" s="337"/>
      <c r="N52" s="337"/>
      <c r="O52" s="337"/>
    </row>
    <row r="53" spans="1:15" s="341" customFormat="1" ht="12.75">
      <c r="A53" s="337"/>
      <c r="B53" s="424">
        <v>24</v>
      </c>
      <c r="C53" s="605" t="s">
        <v>19</v>
      </c>
      <c r="D53" s="606"/>
      <c r="E53" s="425"/>
      <c r="F53" s="426"/>
      <c r="G53" s="427"/>
      <c r="H53" s="427"/>
      <c r="I53" s="429"/>
      <c r="J53" s="337"/>
      <c r="K53" s="337"/>
      <c r="L53" s="337"/>
      <c r="M53" s="337"/>
      <c r="N53" s="337"/>
      <c r="O53" s="337"/>
    </row>
    <row r="54" spans="1:15" s="341" customFormat="1" ht="12.75">
      <c r="A54" s="337"/>
      <c r="B54" s="424">
        <v>25</v>
      </c>
      <c r="C54" s="605" t="s">
        <v>20</v>
      </c>
      <c r="D54" s="606"/>
      <c r="E54" s="425"/>
      <c r="F54" s="426"/>
      <c r="G54" s="427"/>
      <c r="H54" s="427"/>
      <c r="I54" s="429"/>
      <c r="J54" s="337"/>
      <c r="K54" s="337"/>
      <c r="L54" s="337"/>
      <c r="M54" s="337"/>
      <c r="N54" s="337"/>
      <c r="O54" s="337"/>
    </row>
    <row r="55" spans="1:15" s="341" customFormat="1" ht="13.5" thickBot="1">
      <c r="A55" s="337"/>
      <c r="B55" s="432">
        <v>26</v>
      </c>
      <c r="C55" s="609" t="s">
        <v>21</v>
      </c>
      <c r="D55" s="610"/>
      <c r="E55" s="433"/>
      <c r="F55" s="434"/>
      <c r="G55" s="435"/>
      <c r="H55" s="435"/>
      <c r="I55" s="436"/>
      <c r="J55" s="337"/>
      <c r="K55" s="337"/>
      <c r="L55" s="337"/>
      <c r="M55" s="337"/>
      <c r="N55" s="337"/>
      <c r="O55" s="337"/>
    </row>
    <row r="56" spans="1:15" s="341" customFormat="1" ht="12.75">
      <c r="A56" s="337"/>
      <c r="B56" s="437"/>
      <c r="C56" s="611" t="s">
        <v>83</v>
      </c>
      <c r="D56" s="612"/>
      <c r="E56" s="612"/>
      <c r="F56" s="613"/>
      <c r="G56" s="418">
        <v>0</v>
      </c>
      <c r="H56" s="418">
        <v>1</v>
      </c>
      <c r="I56" s="419">
        <f aca="true" t="shared" si="2" ref="I56">100%-G56-H56</f>
        <v>0</v>
      </c>
      <c r="J56" s="337"/>
      <c r="K56" s="337"/>
      <c r="L56" s="337"/>
      <c r="M56" s="337"/>
      <c r="N56" s="337"/>
      <c r="O56" s="337"/>
    </row>
    <row r="57" spans="1:15" s="341" customFormat="1" ht="12.75">
      <c r="A57" s="337"/>
      <c r="B57" s="438"/>
      <c r="C57" s="634" t="s">
        <v>44</v>
      </c>
      <c r="D57" s="607"/>
      <c r="E57" s="439"/>
      <c r="F57" s="426"/>
      <c r="G57" s="427"/>
      <c r="H57" s="427"/>
      <c r="I57" s="429"/>
      <c r="J57" s="337"/>
      <c r="K57" s="337"/>
      <c r="L57" s="337"/>
      <c r="M57" s="337"/>
      <c r="N57" s="337"/>
      <c r="O57" s="337"/>
    </row>
    <row r="58" spans="1:15" s="341" customFormat="1" ht="12.75">
      <c r="A58" s="337"/>
      <c r="B58" s="440"/>
      <c r="C58" s="441" t="s">
        <v>226</v>
      </c>
      <c r="D58" s="442"/>
      <c r="E58" s="443"/>
      <c r="F58" s="444"/>
      <c r="G58" s="418">
        <v>1</v>
      </c>
      <c r="H58" s="418">
        <v>0</v>
      </c>
      <c r="I58" s="419">
        <f aca="true" t="shared" si="3" ref="I58">100%-G58-H58</f>
        <v>0</v>
      </c>
      <c r="J58" s="337"/>
      <c r="K58" s="337"/>
      <c r="L58" s="337"/>
      <c r="M58" s="337"/>
      <c r="N58" s="337"/>
      <c r="O58" s="337"/>
    </row>
    <row r="59" spans="1:15" s="341" customFormat="1" ht="13.5" thickBot="1">
      <c r="A59" s="337"/>
      <c r="B59" s="445"/>
      <c r="C59" s="635" t="s">
        <v>46</v>
      </c>
      <c r="D59" s="636"/>
      <c r="E59" s="446"/>
      <c r="F59" s="434"/>
      <c r="G59" s="447"/>
      <c r="H59" s="447"/>
      <c r="I59" s="448"/>
      <c r="J59" s="337"/>
      <c r="K59" s="337"/>
      <c r="L59" s="337"/>
      <c r="M59" s="337"/>
      <c r="N59" s="337"/>
      <c r="O59" s="337"/>
    </row>
    <row r="60" spans="1:15" s="341" customFormat="1" ht="12.75">
      <c r="A60" s="337"/>
      <c r="B60" s="337"/>
      <c r="C60" s="337"/>
      <c r="D60" s="337"/>
      <c r="E60" s="337"/>
      <c r="F60" s="337"/>
      <c r="G60" s="389"/>
      <c r="H60" s="389"/>
      <c r="I60" s="389"/>
      <c r="J60" s="337"/>
      <c r="K60" s="337"/>
      <c r="L60" s="337"/>
      <c r="M60" s="337"/>
      <c r="N60" s="337"/>
      <c r="O60" s="337"/>
    </row>
    <row r="61" spans="1:15" s="341" customFormat="1" ht="12.75">
      <c r="A61" s="337"/>
      <c r="B61" s="390" t="s">
        <v>99</v>
      </c>
      <c r="C61" s="337"/>
      <c r="D61" s="337"/>
      <c r="E61" s="337"/>
      <c r="F61" s="337"/>
      <c r="G61" s="337"/>
      <c r="H61" s="337"/>
      <c r="I61" s="337"/>
      <c r="J61" s="337"/>
      <c r="K61" s="337"/>
      <c r="L61" s="337"/>
      <c r="M61" s="337"/>
      <c r="N61" s="337"/>
      <c r="O61" s="337"/>
    </row>
    <row r="62" spans="1:15" s="341" customFormat="1" ht="12.75">
      <c r="A62" s="337"/>
      <c r="B62" s="449" t="s">
        <v>100</v>
      </c>
      <c r="C62" s="337"/>
      <c r="D62" s="337"/>
      <c r="E62" s="337"/>
      <c r="F62" s="337"/>
      <c r="G62" s="337"/>
      <c r="H62" s="337"/>
      <c r="I62" s="337"/>
      <c r="J62" s="337"/>
      <c r="K62" s="337"/>
      <c r="L62" s="337"/>
      <c r="M62" s="337"/>
      <c r="N62" s="337"/>
      <c r="O62" s="337"/>
    </row>
    <row r="63" spans="1:15" s="341" customFormat="1" ht="13.5" thickBot="1">
      <c r="A63" s="337"/>
      <c r="B63" s="337"/>
      <c r="C63" s="337"/>
      <c r="D63" s="337"/>
      <c r="E63" s="337"/>
      <c r="F63" s="337"/>
      <c r="G63" s="337"/>
      <c r="H63" s="337"/>
      <c r="I63" s="337"/>
      <c r="J63" s="337"/>
      <c r="K63" s="337"/>
      <c r="L63" s="337"/>
      <c r="M63" s="337"/>
      <c r="N63" s="337"/>
      <c r="O63" s="337"/>
    </row>
    <row r="64" spans="1:15" s="341" customFormat="1" ht="12.75">
      <c r="A64" s="337"/>
      <c r="B64" s="642" t="s">
        <v>7</v>
      </c>
      <c r="C64" s="643"/>
      <c r="D64" s="637" t="s">
        <v>269</v>
      </c>
      <c r="E64" s="639" t="s">
        <v>101</v>
      </c>
      <c r="F64" s="640"/>
      <c r="G64" s="640"/>
      <c r="H64" s="640"/>
      <c r="I64" s="640"/>
      <c r="J64" s="640"/>
      <c r="K64" s="640"/>
      <c r="L64" s="640"/>
      <c r="M64" s="640"/>
      <c r="N64" s="641"/>
      <c r="O64" s="337"/>
    </row>
    <row r="65" spans="1:15" s="341" customFormat="1" ht="13.5" thickBot="1">
      <c r="A65" s="337"/>
      <c r="B65" s="644"/>
      <c r="C65" s="645"/>
      <c r="D65" s="638"/>
      <c r="E65" s="450">
        <f>VR</f>
        <v>1</v>
      </c>
      <c r="F65" s="451">
        <f>E65+1</f>
        <v>2</v>
      </c>
      <c r="G65" s="451">
        <f aca="true" t="shared" si="4" ref="G65:M65">F65+1</f>
        <v>3</v>
      </c>
      <c r="H65" s="451">
        <f t="shared" si="4"/>
        <v>4</v>
      </c>
      <c r="I65" s="451">
        <f t="shared" si="4"/>
        <v>5</v>
      </c>
      <c r="J65" s="451">
        <f t="shared" si="4"/>
        <v>6</v>
      </c>
      <c r="K65" s="451">
        <f t="shared" si="4"/>
        <v>7</v>
      </c>
      <c r="L65" s="451">
        <f t="shared" si="4"/>
        <v>8</v>
      </c>
      <c r="M65" s="451">
        <f t="shared" si="4"/>
        <v>9</v>
      </c>
      <c r="N65" s="452">
        <f>M65+1</f>
        <v>10</v>
      </c>
      <c r="O65" s="337"/>
    </row>
    <row r="66" spans="1:15" s="341" customFormat="1" ht="13.5" thickTop="1">
      <c r="A66" s="337"/>
      <c r="B66" s="622" t="s">
        <v>114</v>
      </c>
      <c r="C66" s="623"/>
      <c r="D66" s="453" t="s">
        <v>122</v>
      </c>
      <c r="E66" s="454"/>
      <c r="F66" s="455"/>
      <c r="G66" s="455"/>
      <c r="H66" s="455"/>
      <c r="I66" s="455"/>
      <c r="J66" s="455"/>
      <c r="K66" s="455"/>
      <c r="L66" s="455"/>
      <c r="M66" s="455"/>
      <c r="N66" s="456"/>
      <c r="O66" s="337"/>
    </row>
    <row r="67" spans="1:15" s="341" customFormat="1" ht="12.75">
      <c r="A67" s="337"/>
      <c r="B67" s="624"/>
      <c r="C67" s="625"/>
      <c r="D67" s="457" t="s">
        <v>121</v>
      </c>
      <c r="E67" s="458">
        <v>0.5</v>
      </c>
      <c r="F67" s="459">
        <v>0.5</v>
      </c>
      <c r="G67" s="459">
        <v>0.5</v>
      </c>
      <c r="H67" s="459">
        <v>0.5</v>
      </c>
      <c r="I67" s="459">
        <v>0.5</v>
      </c>
      <c r="J67" s="459">
        <v>0.5</v>
      </c>
      <c r="K67" s="459">
        <v>0.5</v>
      </c>
      <c r="L67" s="459">
        <v>0.5</v>
      </c>
      <c r="M67" s="459">
        <v>0.5</v>
      </c>
      <c r="N67" s="460">
        <v>0.5</v>
      </c>
      <c r="O67" s="337"/>
    </row>
    <row r="68" spans="1:15" s="341" customFormat="1" ht="12.75">
      <c r="A68" s="337"/>
      <c r="B68" s="626" t="s">
        <v>111</v>
      </c>
      <c r="C68" s="627"/>
      <c r="D68" s="461" t="s">
        <v>0</v>
      </c>
      <c r="E68" s="462"/>
      <c r="F68" s="455"/>
      <c r="G68" s="455"/>
      <c r="H68" s="455"/>
      <c r="I68" s="455"/>
      <c r="J68" s="455"/>
      <c r="K68" s="455"/>
      <c r="L68" s="455"/>
      <c r="M68" s="455"/>
      <c r="N68" s="456"/>
      <c r="O68" s="337"/>
    </row>
    <row r="69" spans="1:15" s="341" customFormat="1" ht="12.75">
      <c r="A69" s="337"/>
      <c r="B69" s="628"/>
      <c r="C69" s="629"/>
      <c r="D69" s="463" t="s">
        <v>108</v>
      </c>
      <c r="E69" s="464">
        <v>0.2</v>
      </c>
      <c r="F69" s="459">
        <v>0.2</v>
      </c>
      <c r="G69" s="459">
        <v>0.2</v>
      </c>
      <c r="H69" s="459">
        <v>0.2</v>
      </c>
      <c r="I69" s="459">
        <v>0.2</v>
      </c>
      <c r="J69" s="459">
        <v>0.2</v>
      </c>
      <c r="K69" s="459">
        <v>0.2</v>
      </c>
      <c r="L69" s="459">
        <v>0.2</v>
      </c>
      <c r="M69" s="459">
        <v>0.2</v>
      </c>
      <c r="N69" s="460">
        <v>0.2</v>
      </c>
      <c r="O69" s="337"/>
    </row>
    <row r="70" spans="1:15" s="341" customFormat="1" ht="12.75">
      <c r="A70" s="337"/>
      <c r="B70" s="624"/>
      <c r="C70" s="625"/>
      <c r="D70" s="463" t="s">
        <v>259</v>
      </c>
      <c r="E70" s="464">
        <v>0</v>
      </c>
      <c r="F70" s="459">
        <v>0</v>
      </c>
      <c r="G70" s="459">
        <v>0</v>
      </c>
      <c r="H70" s="459">
        <v>0</v>
      </c>
      <c r="I70" s="459">
        <v>0</v>
      </c>
      <c r="J70" s="459">
        <v>0</v>
      </c>
      <c r="K70" s="459">
        <v>0</v>
      </c>
      <c r="L70" s="459">
        <v>0</v>
      </c>
      <c r="M70" s="459">
        <v>0</v>
      </c>
      <c r="N70" s="460">
        <v>0</v>
      </c>
      <c r="O70" s="337"/>
    </row>
    <row r="71" spans="1:15" s="341" customFormat="1" ht="12.75">
      <c r="A71" s="337"/>
      <c r="B71" s="630" t="s">
        <v>112</v>
      </c>
      <c r="C71" s="627"/>
      <c r="D71" s="461" t="s">
        <v>2</v>
      </c>
      <c r="E71" s="465">
        <v>0.2</v>
      </c>
      <c r="F71" s="466">
        <v>0.2</v>
      </c>
      <c r="G71" s="466">
        <v>0.2</v>
      </c>
      <c r="H71" s="466">
        <v>0.2</v>
      </c>
      <c r="I71" s="466">
        <v>0.2</v>
      </c>
      <c r="J71" s="466">
        <v>0.2</v>
      </c>
      <c r="K71" s="466">
        <v>0.2</v>
      </c>
      <c r="L71" s="466">
        <v>0.2</v>
      </c>
      <c r="M71" s="466">
        <v>0.2</v>
      </c>
      <c r="N71" s="467">
        <v>0.2</v>
      </c>
      <c r="O71" s="337"/>
    </row>
    <row r="72" spans="1:15" s="341" customFormat="1" ht="12.75">
      <c r="A72" s="337"/>
      <c r="B72" s="631"/>
      <c r="C72" s="625"/>
      <c r="D72" s="468" t="s">
        <v>1</v>
      </c>
      <c r="E72" s="469"/>
      <c r="F72" s="470"/>
      <c r="G72" s="470"/>
      <c r="H72" s="470"/>
      <c r="I72" s="470"/>
      <c r="J72" s="470"/>
      <c r="K72" s="470"/>
      <c r="L72" s="470"/>
      <c r="M72" s="470"/>
      <c r="N72" s="471"/>
      <c r="O72" s="337"/>
    </row>
    <row r="73" spans="1:15" s="341" customFormat="1" ht="12.75">
      <c r="A73" s="337"/>
      <c r="B73" s="630" t="s">
        <v>113</v>
      </c>
      <c r="C73" s="627"/>
      <c r="D73" s="472" t="s">
        <v>2</v>
      </c>
      <c r="E73" s="473">
        <v>0.25</v>
      </c>
      <c r="F73" s="474">
        <v>0.25</v>
      </c>
      <c r="G73" s="474">
        <v>0.25</v>
      </c>
      <c r="H73" s="474">
        <v>0.8</v>
      </c>
      <c r="I73" s="474">
        <v>0.8</v>
      </c>
      <c r="J73" s="474">
        <v>0.8</v>
      </c>
      <c r="K73" s="474">
        <v>0.8</v>
      </c>
      <c r="L73" s="474">
        <v>0.8</v>
      </c>
      <c r="M73" s="474">
        <v>0.8</v>
      </c>
      <c r="N73" s="475">
        <v>0.8</v>
      </c>
      <c r="O73" s="337"/>
    </row>
    <row r="74" spans="1:15" s="341" customFormat="1" ht="13.5" thickBot="1">
      <c r="A74" s="337"/>
      <c r="B74" s="632"/>
      <c r="C74" s="633"/>
      <c r="D74" s="476" t="s">
        <v>1</v>
      </c>
      <c r="E74" s="477"/>
      <c r="F74" s="478"/>
      <c r="G74" s="478"/>
      <c r="H74" s="478"/>
      <c r="I74" s="478"/>
      <c r="J74" s="478"/>
      <c r="K74" s="478"/>
      <c r="L74" s="478"/>
      <c r="M74" s="478"/>
      <c r="N74" s="479"/>
      <c r="O74" s="337"/>
    </row>
    <row r="75" spans="1:15" ht="12.75">
      <c r="A75" s="337"/>
      <c r="B75" s="337"/>
      <c r="C75" s="337"/>
      <c r="D75" s="337"/>
      <c r="E75" s="337"/>
      <c r="F75" s="337"/>
      <c r="G75" s="389"/>
      <c r="H75" s="389"/>
      <c r="I75" s="389"/>
      <c r="J75" s="337"/>
      <c r="K75" s="337"/>
      <c r="L75" s="337"/>
      <c r="M75" s="337"/>
      <c r="N75" s="337"/>
      <c r="O75" s="337"/>
    </row>
    <row r="76" spans="1:15" ht="12.75" customHeight="1">
      <c r="A76" s="337"/>
      <c r="B76" s="390" t="s">
        <v>263</v>
      </c>
      <c r="C76" s="337"/>
      <c r="D76" s="337"/>
      <c r="E76" s="337"/>
      <c r="F76" s="337"/>
      <c r="G76" s="389"/>
      <c r="H76" s="389"/>
      <c r="I76" s="389"/>
      <c r="J76" s="337"/>
      <c r="K76" s="337"/>
      <c r="L76" s="337"/>
      <c r="M76" s="337"/>
      <c r="N76" s="337"/>
      <c r="O76" s="337"/>
    </row>
    <row r="77" spans="1:15" ht="12.75" customHeight="1">
      <c r="A77" s="337"/>
      <c r="B77" s="337" t="s">
        <v>264</v>
      </c>
      <c r="C77" s="337"/>
      <c r="D77" s="337"/>
      <c r="E77" s="337"/>
      <c r="F77" s="337"/>
      <c r="G77" s="389"/>
      <c r="H77" s="389"/>
      <c r="I77" s="389"/>
      <c r="J77" s="337"/>
      <c r="K77" s="337"/>
      <c r="L77" s="337"/>
      <c r="M77" s="337"/>
      <c r="N77" s="337"/>
      <c r="O77" s="337"/>
    </row>
    <row r="78" spans="1:15" ht="12.75" customHeight="1" thickBot="1">
      <c r="A78" s="337"/>
      <c r="B78" s="449"/>
      <c r="C78" s="337"/>
      <c r="D78" s="337"/>
      <c r="E78" s="337"/>
      <c r="F78" s="337"/>
      <c r="G78" s="389"/>
      <c r="H78" s="389"/>
      <c r="I78" s="389"/>
      <c r="J78" s="337"/>
      <c r="K78" s="337"/>
      <c r="L78" s="337"/>
      <c r="M78" s="337"/>
      <c r="N78" s="337"/>
      <c r="O78" s="337"/>
    </row>
    <row r="79" spans="1:15" ht="26.25" customHeight="1" thickBot="1">
      <c r="A79" s="337"/>
      <c r="B79" s="481" t="s">
        <v>7</v>
      </c>
      <c r="C79" s="482"/>
      <c r="D79" s="483" t="s">
        <v>265</v>
      </c>
      <c r="E79" s="620" t="s">
        <v>3</v>
      </c>
      <c r="F79" s="621"/>
      <c r="G79" s="389"/>
      <c r="H79" s="389"/>
      <c r="I79" s="389"/>
      <c r="J79" s="337"/>
      <c r="K79" s="337"/>
      <c r="L79" s="337"/>
      <c r="M79" s="337"/>
      <c r="N79" s="337"/>
      <c r="O79" s="337"/>
    </row>
    <row r="80" spans="1:15" ht="26.25" customHeight="1" thickTop="1">
      <c r="A80" s="337"/>
      <c r="B80" s="484" t="s">
        <v>111</v>
      </c>
      <c r="C80" s="485"/>
      <c r="D80" s="486" t="s">
        <v>108</v>
      </c>
      <c r="E80" s="614">
        <v>0.5</v>
      </c>
      <c r="F80" s="615"/>
      <c r="G80" s="389"/>
      <c r="H80" s="389"/>
      <c r="I80" s="389"/>
      <c r="J80" s="337"/>
      <c r="K80" s="337"/>
      <c r="L80" s="337"/>
      <c r="M80" s="337"/>
      <c r="N80" s="337"/>
      <c r="O80" s="337"/>
    </row>
    <row r="81" spans="1:15" ht="26.25" customHeight="1">
      <c r="A81" s="337"/>
      <c r="B81" s="484" t="s">
        <v>112</v>
      </c>
      <c r="C81" s="487"/>
      <c r="D81" s="486" t="s">
        <v>2</v>
      </c>
      <c r="E81" s="616">
        <v>0.2</v>
      </c>
      <c r="F81" s="617"/>
      <c r="G81" s="389"/>
      <c r="H81" s="389"/>
      <c r="I81" s="389"/>
      <c r="J81" s="337"/>
      <c r="K81" s="337"/>
      <c r="L81" s="337"/>
      <c r="M81" s="337"/>
      <c r="N81" s="337"/>
      <c r="O81" s="337"/>
    </row>
    <row r="82" spans="1:15" ht="26.25" customHeight="1" thickBot="1">
      <c r="A82" s="337"/>
      <c r="B82" s="488" t="s">
        <v>113</v>
      </c>
      <c r="C82" s="489"/>
      <c r="D82" s="490" t="s">
        <v>2</v>
      </c>
      <c r="E82" s="618">
        <v>0.3</v>
      </c>
      <c r="F82" s="619"/>
      <c r="G82" s="389"/>
      <c r="H82" s="389"/>
      <c r="I82" s="389"/>
      <c r="J82" s="337"/>
      <c r="K82" s="337"/>
      <c r="L82" s="337"/>
      <c r="M82" s="337"/>
      <c r="N82" s="337"/>
      <c r="O82" s="337"/>
    </row>
    <row r="83" spans="1:15" ht="12.75" customHeight="1">
      <c r="A83" s="337"/>
      <c r="B83" s="337"/>
      <c r="C83" s="337"/>
      <c r="D83" s="337"/>
      <c r="E83" s="337"/>
      <c r="F83" s="337"/>
      <c r="G83" s="389"/>
      <c r="H83" s="389"/>
      <c r="I83" s="389"/>
      <c r="J83" s="337"/>
      <c r="K83" s="337"/>
      <c r="L83" s="337"/>
      <c r="M83" s="337"/>
      <c r="N83" s="337"/>
      <c r="O83" s="337"/>
    </row>
    <row r="84" spans="1:15" ht="12.75" customHeight="1">
      <c r="A84" s="337"/>
      <c r="B84" s="491" t="s">
        <v>253</v>
      </c>
      <c r="C84" s="337"/>
      <c r="D84" s="337"/>
      <c r="E84" s="337"/>
      <c r="F84" s="337"/>
      <c r="G84" s="389"/>
      <c r="H84" s="389"/>
      <c r="I84" s="389"/>
      <c r="J84" s="337"/>
      <c r="K84" s="337"/>
      <c r="L84" s="337"/>
      <c r="M84" s="337"/>
      <c r="N84" s="337"/>
      <c r="O84" s="337"/>
    </row>
    <row r="85" spans="1:15" ht="12.75" customHeight="1">
      <c r="A85" s="337"/>
      <c r="B85" s="491"/>
      <c r="C85" s="337"/>
      <c r="D85" s="337"/>
      <c r="E85" s="337"/>
      <c r="F85" s="337"/>
      <c r="G85" s="389"/>
      <c r="H85" s="389"/>
      <c r="I85" s="389"/>
      <c r="J85" s="337"/>
      <c r="K85" s="337"/>
      <c r="L85" s="337"/>
      <c r="M85" s="337"/>
      <c r="N85" s="337"/>
      <c r="O85" s="337"/>
    </row>
    <row r="86" spans="1:15" ht="12.75" customHeight="1">
      <c r="A86" s="337"/>
      <c r="B86" s="339"/>
      <c r="C86" s="339"/>
      <c r="D86" s="339"/>
      <c r="E86" s="339"/>
      <c r="F86" s="339"/>
      <c r="G86" s="396"/>
      <c r="H86" s="396"/>
      <c r="I86" s="396"/>
      <c r="J86" s="339"/>
      <c r="K86" s="339"/>
      <c r="L86" s="339"/>
      <c r="M86" s="339"/>
      <c r="N86" s="339"/>
      <c r="O86" s="337"/>
    </row>
    <row r="87" spans="1:15" ht="12.75" customHeight="1">
      <c r="A87" s="337"/>
      <c r="B87" s="492" t="str">
        <f>CONCATENATE("Výchozí průměrná cena (Kč/kg) za r. ",E90)</f>
        <v>Výchozí průměrná cena (Kč/kg) za r. 2015</v>
      </c>
      <c r="C87" s="342"/>
      <c r="D87" s="339"/>
      <c r="E87" s="339"/>
      <c r="F87" s="339"/>
      <c r="G87" s="339"/>
      <c r="H87" s="399">
        <v>26</v>
      </c>
      <c r="I87" s="339"/>
      <c r="J87" s="339"/>
      <c r="K87" s="339"/>
      <c r="L87" s="339"/>
      <c r="M87" s="339"/>
      <c r="N87" s="339"/>
      <c r="O87" s="337"/>
    </row>
    <row r="88" spans="1:15" ht="12.75" customHeight="1">
      <c r="A88" s="337"/>
      <c r="B88" s="492" t="s">
        <v>246</v>
      </c>
      <c r="C88" s="342"/>
      <c r="D88" s="339"/>
      <c r="E88" s="339"/>
      <c r="F88" s="339"/>
      <c r="G88" s="339"/>
      <c r="H88" s="393">
        <f>15/1000</f>
        <v>0.015</v>
      </c>
      <c r="I88" s="339"/>
      <c r="J88" s="339"/>
      <c r="K88" s="339"/>
      <c r="L88" s="339"/>
      <c r="M88" s="339"/>
      <c r="N88" s="339"/>
      <c r="O88" s="337"/>
    </row>
    <row r="89" spans="1:15" ht="12.75" customHeight="1" thickBot="1">
      <c r="A89" s="337"/>
      <c r="B89" s="339"/>
      <c r="C89" s="339"/>
      <c r="D89" s="339"/>
      <c r="E89" s="339"/>
      <c r="F89" s="339"/>
      <c r="G89" s="396"/>
      <c r="H89" s="396"/>
      <c r="I89" s="396"/>
      <c r="J89" s="339"/>
      <c r="K89" s="339"/>
      <c r="L89" s="339"/>
      <c r="M89" s="339"/>
      <c r="N89" s="339"/>
      <c r="O89" s="337"/>
    </row>
    <row r="90" spans="1:40" ht="12.75" customHeight="1">
      <c r="A90" s="337"/>
      <c r="B90" s="493"/>
      <c r="C90" s="494"/>
      <c r="D90" s="495"/>
      <c r="E90" s="496">
        <v>2015</v>
      </c>
      <c r="F90" s="497">
        <f>E90+1</f>
        <v>2016</v>
      </c>
      <c r="G90" s="497">
        <f>F90+1</f>
        <v>2017</v>
      </c>
      <c r="H90" s="497">
        <f aca="true" t="shared" si="5" ref="H90:M90">G90+1</f>
        <v>2018</v>
      </c>
      <c r="I90" s="497">
        <f t="shared" si="5"/>
        <v>2019</v>
      </c>
      <c r="J90" s="497">
        <f t="shared" si="5"/>
        <v>2020</v>
      </c>
      <c r="K90" s="497">
        <f t="shared" si="5"/>
        <v>2021</v>
      </c>
      <c r="L90" s="497">
        <f t="shared" si="5"/>
        <v>2022</v>
      </c>
      <c r="M90" s="497">
        <f t="shared" si="5"/>
        <v>2023</v>
      </c>
      <c r="N90" s="498" t="str">
        <f>CONCATENATE(M90+1," a dále")</f>
        <v>2024 a dále</v>
      </c>
      <c r="O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c r="AN90" s="499"/>
    </row>
    <row r="91" spans="1:40" ht="12.75" customHeight="1">
      <c r="A91" s="337"/>
      <c r="B91" s="424" t="s">
        <v>244</v>
      </c>
      <c r="C91" s="500"/>
      <c r="D91" s="426"/>
      <c r="E91" s="393">
        <v>68.4</v>
      </c>
      <c r="F91" s="393">
        <v>68.4</v>
      </c>
      <c r="G91" s="393">
        <v>68.4</v>
      </c>
      <c r="H91" s="393">
        <v>136.8</v>
      </c>
      <c r="I91" s="393">
        <v>136.8</v>
      </c>
      <c r="J91" s="393">
        <v>264.8</v>
      </c>
      <c r="K91" s="393">
        <v>264.8</v>
      </c>
      <c r="L91" s="393">
        <v>264.8</v>
      </c>
      <c r="M91" s="393">
        <v>264.8</v>
      </c>
      <c r="N91" s="501">
        <v>264.8</v>
      </c>
      <c r="O91" s="499"/>
      <c r="P91" s="499"/>
      <c r="Q91" s="499"/>
      <c r="R91" s="499"/>
      <c r="S91" s="499"/>
      <c r="T91" s="499"/>
      <c r="U91" s="499"/>
      <c r="V91" s="499"/>
      <c r="W91" s="499"/>
      <c r="X91" s="499"/>
      <c r="Y91" s="499"/>
      <c r="Z91" s="499"/>
      <c r="AA91" s="499"/>
      <c r="AB91" s="499"/>
      <c r="AC91" s="499"/>
      <c r="AD91" s="499"/>
      <c r="AE91" s="499"/>
      <c r="AF91" s="499"/>
      <c r="AG91" s="499"/>
      <c r="AH91" s="499"/>
      <c r="AI91" s="499"/>
      <c r="AJ91" s="499"/>
      <c r="AK91" s="499"/>
      <c r="AL91" s="499"/>
      <c r="AM91" s="499"/>
      <c r="AN91" s="499"/>
    </row>
    <row r="92" spans="1:40" ht="12.75" customHeight="1">
      <c r="A92" s="337"/>
      <c r="B92" s="424" t="s">
        <v>245</v>
      </c>
      <c r="C92" s="500"/>
      <c r="D92" s="426"/>
      <c r="E92" s="502">
        <f aca="true" t="shared" si="6" ref="E92:N92">E91*$H$88</f>
        <v>1.026</v>
      </c>
      <c r="F92" s="502">
        <f t="shared" si="6"/>
        <v>1.026</v>
      </c>
      <c r="G92" s="502">
        <f t="shared" si="6"/>
        <v>1.026</v>
      </c>
      <c r="H92" s="502">
        <f t="shared" si="6"/>
        <v>2.052</v>
      </c>
      <c r="I92" s="502">
        <f t="shared" si="6"/>
        <v>2.052</v>
      </c>
      <c r="J92" s="502">
        <f t="shared" si="6"/>
        <v>3.972</v>
      </c>
      <c r="K92" s="502">
        <f t="shared" si="6"/>
        <v>3.972</v>
      </c>
      <c r="L92" s="502">
        <f t="shared" si="6"/>
        <v>3.972</v>
      </c>
      <c r="M92" s="502">
        <f t="shared" si="6"/>
        <v>3.972</v>
      </c>
      <c r="N92" s="503">
        <f t="shared" si="6"/>
        <v>3.972</v>
      </c>
      <c r="O92" s="504"/>
      <c r="P92" s="504"/>
      <c r="Q92" s="504"/>
      <c r="R92" s="504"/>
      <c r="S92" s="504"/>
      <c r="T92" s="504"/>
      <c r="U92" s="504"/>
      <c r="V92" s="504"/>
      <c r="W92" s="504"/>
      <c r="X92" s="504"/>
      <c r="Y92" s="504"/>
      <c r="Z92" s="504"/>
      <c r="AA92" s="504"/>
      <c r="AB92" s="504"/>
      <c r="AC92" s="504"/>
      <c r="AD92" s="504"/>
      <c r="AE92" s="504"/>
      <c r="AF92" s="504"/>
      <c r="AG92" s="504"/>
      <c r="AH92" s="504"/>
      <c r="AI92" s="504"/>
      <c r="AJ92" s="504"/>
      <c r="AK92" s="504"/>
      <c r="AL92" s="504"/>
      <c r="AM92" s="504"/>
      <c r="AN92" s="504"/>
    </row>
    <row r="93" spans="1:40" ht="12.75" customHeight="1">
      <c r="A93" s="337"/>
      <c r="B93" s="424" t="s">
        <v>251</v>
      </c>
      <c r="C93" s="500"/>
      <c r="D93" s="426"/>
      <c r="E93" s="502">
        <f>H87</f>
        <v>26</v>
      </c>
      <c r="F93" s="502">
        <f aca="true" t="shared" si="7" ref="F93:N93">E93+F92-E92</f>
        <v>26</v>
      </c>
      <c r="G93" s="502">
        <f t="shared" si="7"/>
        <v>26</v>
      </c>
      <c r="H93" s="502">
        <f t="shared" si="7"/>
        <v>27.026</v>
      </c>
      <c r="I93" s="502">
        <f t="shared" si="7"/>
        <v>27.026</v>
      </c>
      <c r="J93" s="502">
        <f t="shared" si="7"/>
        <v>28.946</v>
      </c>
      <c r="K93" s="502">
        <f t="shared" si="7"/>
        <v>28.945999999999998</v>
      </c>
      <c r="L93" s="502">
        <f t="shared" si="7"/>
        <v>28.945999999999998</v>
      </c>
      <c r="M93" s="502">
        <f t="shared" si="7"/>
        <v>28.945999999999998</v>
      </c>
      <c r="N93" s="503">
        <f t="shared" si="7"/>
        <v>28.945999999999998</v>
      </c>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row>
    <row r="94" spans="1:40" ht="12.75" customHeight="1" thickBot="1">
      <c r="A94" s="337"/>
      <c r="B94" s="505" t="s">
        <v>252</v>
      </c>
      <c r="C94" s="506"/>
      <c r="D94" s="507"/>
      <c r="E94" s="508"/>
      <c r="F94" s="509">
        <f>F93/$F$93*100</f>
        <v>100</v>
      </c>
      <c r="G94" s="509">
        <f aca="true" t="shared" si="8" ref="G94:N94">G93/$F$93*100</f>
        <v>100</v>
      </c>
      <c r="H94" s="509">
        <f t="shared" si="8"/>
        <v>103.94615384615385</v>
      </c>
      <c r="I94" s="509">
        <f t="shared" si="8"/>
        <v>103.94615384615385</v>
      </c>
      <c r="J94" s="509">
        <f t="shared" si="8"/>
        <v>111.33076923076923</v>
      </c>
      <c r="K94" s="509">
        <f t="shared" si="8"/>
        <v>111.33076923076923</v>
      </c>
      <c r="L94" s="509">
        <f t="shared" si="8"/>
        <v>111.33076923076923</v>
      </c>
      <c r="M94" s="509">
        <f t="shared" si="8"/>
        <v>111.33076923076923</v>
      </c>
      <c r="N94" s="510">
        <f t="shared" si="8"/>
        <v>111.33076923076923</v>
      </c>
      <c r="O94" s="511"/>
      <c r="P94" s="511"/>
      <c r="Q94" s="511"/>
      <c r="R94" s="511"/>
      <c r="S94" s="511"/>
      <c r="T94" s="511"/>
      <c r="U94" s="511"/>
      <c r="V94" s="511"/>
      <c r="W94" s="511"/>
      <c r="X94" s="511"/>
      <c r="Y94" s="511"/>
      <c r="Z94" s="511"/>
      <c r="AA94" s="511"/>
      <c r="AB94" s="511"/>
      <c r="AC94" s="511"/>
      <c r="AD94" s="511"/>
      <c r="AE94" s="511"/>
      <c r="AF94" s="511"/>
      <c r="AG94" s="511"/>
      <c r="AH94" s="511"/>
      <c r="AI94" s="511"/>
      <c r="AJ94" s="511"/>
      <c r="AK94" s="511"/>
      <c r="AL94" s="511"/>
      <c r="AM94" s="511"/>
      <c r="AN94" s="511"/>
    </row>
    <row r="95" spans="1:15" ht="12.75" customHeight="1" thickBot="1">
      <c r="A95" s="337"/>
      <c r="B95" s="512"/>
      <c r="C95" s="512"/>
      <c r="D95" s="513"/>
      <c r="E95" s="513"/>
      <c r="F95" s="513"/>
      <c r="G95" s="513"/>
      <c r="H95" s="513"/>
      <c r="I95" s="513"/>
      <c r="J95" s="513"/>
      <c r="K95" s="513"/>
      <c r="L95" s="513"/>
      <c r="M95" s="513"/>
      <c r="N95" s="513"/>
      <c r="O95" s="337"/>
    </row>
    <row r="96" spans="1:15" ht="12.75" customHeight="1">
      <c r="A96" s="337"/>
      <c r="B96" s="493" t="s">
        <v>131</v>
      </c>
      <c r="C96" s="494"/>
      <c r="D96" s="495"/>
      <c r="E96" s="514">
        <f>E65</f>
        <v>1</v>
      </c>
      <c r="F96" s="514">
        <f aca="true" t="shared" si="9" ref="F96:N96">F65</f>
        <v>2</v>
      </c>
      <c r="G96" s="514">
        <f t="shared" si="9"/>
        <v>3</v>
      </c>
      <c r="H96" s="514">
        <f t="shared" si="9"/>
        <v>4</v>
      </c>
      <c r="I96" s="514">
        <f t="shared" si="9"/>
        <v>5</v>
      </c>
      <c r="J96" s="514">
        <f t="shared" si="9"/>
        <v>6</v>
      </c>
      <c r="K96" s="514">
        <f t="shared" si="9"/>
        <v>7</v>
      </c>
      <c r="L96" s="514">
        <f t="shared" si="9"/>
        <v>8</v>
      </c>
      <c r="M96" s="514">
        <f t="shared" si="9"/>
        <v>9</v>
      </c>
      <c r="N96" s="515">
        <f t="shared" si="9"/>
        <v>10</v>
      </c>
      <c r="O96" s="337"/>
    </row>
    <row r="97" spans="1:15" ht="12.75" customHeight="1" thickBot="1">
      <c r="A97" s="337"/>
      <c r="B97" s="516" t="s">
        <v>273</v>
      </c>
      <c r="C97" s="517"/>
      <c r="D97" s="507"/>
      <c r="E97" s="509">
        <f aca="true" t="shared" si="10" ref="E97:N97">INDEX($E$90:$N$94,5,MATCH($H$6+E96,$E$90:$N$90,1))</f>
        <v>100</v>
      </c>
      <c r="F97" s="509">
        <f t="shared" si="10"/>
        <v>103.94615384615385</v>
      </c>
      <c r="G97" s="509">
        <f t="shared" si="10"/>
        <v>103.94615384615385</v>
      </c>
      <c r="H97" s="509">
        <f t="shared" si="10"/>
        <v>111.33076923076923</v>
      </c>
      <c r="I97" s="509">
        <f t="shared" si="10"/>
        <v>111.33076923076923</v>
      </c>
      <c r="J97" s="509">
        <f t="shared" si="10"/>
        <v>111.33076923076923</v>
      </c>
      <c r="K97" s="509">
        <f t="shared" si="10"/>
        <v>111.33076923076923</v>
      </c>
      <c r="L97" s="509">
        <f t="shared" si="10"/>
        <v>111.33076923076923</v>
      </c>
      <c r="M97" s="509">
        <f t="shared" si="10"/>
        <v>111.33076923076923</v>
      </c>
      <c r="N97" s="510">
        <f t="shared" si="10"/>
        <v>111.33076923076923</v>
      </c>
      <c r="O97" s="337"/>
    </row>
    <row r="98" spans="1:15" ht="12.75" customHeight="1">
      <c r="A98" s="337"/>
      <c r="B98" s="339"/>
      <c r="C98" s="339"/>
      <c r="D98" s="339"/>
      <c r="E98" s="339"/>
      <c r="F98" s="339"/>
      <c r="G98" s="396"/>
      <c r="H98" s="396"/>
      <c r="I98" s="396"/>
      <c r="J98" s="339"/>
      <c r="K98" s="339"/>
      <c r="L98" s="339"/>
      <c r="M98" s="339"/>
      <c r="N98" s="339"/>
      <c r="O98" s="337"/>
    </row>
    <row r="99" spans="1:15" ht="12.75" customHeight="1">
      <c r="A99" s="337"/>
      <c r="B99" s="337"/>
      <c r="C99" s="337"/>
      <c r="D99" s="337"/>
      <c r="E99" s="337"/>
      <c r="F99" s="337"/>
      <c r="G99" s="389"/>
      <c r="H99" s="389"/>
      <c r="I99" s="389"/>
      <c r="J99" s="337"/>
      <c r="K99" s="337"/>
      <c r="L99" s="337"/>
      <c r="M99" s="337"/>
      <c r="N99" s="337"/>
      <c r="O99" s="337"/>
    </row>
    <row r="100" ht="12.75" customHeight="1" hidden="1"/>
    <row r="101" ht="12.75" customHeight="1" hidden="1"/>
  </sheetData>
  <sheetProtection password="EEFD" sheet="1" scenarios="1" formatRows="0"/>
  <mergeCells count="44">
    <mergeCell ref="C56:F56"/>
    <mergeCell ref="E80:F80"/>
    <mergeCell ref="E81:F81"/>
    <mergeCell ref="E82:F82"/>
    <mergeCell ref="E79:F79"/>
    <mergeCell ref="B66:C67"/>
    <mergeCell ref="B68:C70"/>
    <mergeCell ref="B71:C72"/>
    <mergeCell ref="B73:C74"/>
    <mergeCell ref="C57:D57"/>
    <mergeCell ref="C59:D59"/>
    <mergeCell ref="D64:D65"/>
    <mergeCell ref="E64:N64"/>
    <mergeCell ref="B64:C65"/>
    <mergeCell ref="C55:D55"/>
    <mergeCell ref="C44:D44"/>
    <mergeCell ref="C45:D45"/>
    <mergeCell ref="C46:D46"/>
    <mergeCell ref="C47:D47"/>
    <mergeCell ref="C48:D48"/>
    <mergeCell ref="C49:D49"/>
    <mergeCell ref="C50:D50"/>
    <mergeCell ref="C51:D51"/>
    <mergeCell ref="C52:D52"/>
    <mergeCell ref="C53:D53"/>
    <mergeCell ref="C54:D54"/>
    <mergeCell ref="C43:D43"/>
    <mergeCell ref="I31:I32"/>
    <mergeCell ref="C33:D33"/>
    <mergeCell ref="C34:D34"/>
    <mergeCell ref="C35:D35"/>
    <mergeCell ref="C36:D36"/>
    <mergeCell ref="C37:D37"/>
    <mergeCell ref="H31:H32"/>
    <mergeCell ref="C38:D38"/>
    <mergeCell ref="C39:D39"/>
    <mergeCell ref="C40:D40"/>
    <mergeCell ref="C41:D41"/>
    <mergeCell ref="C42:F42"/>
    <mergeCell ref="B31:B32"/>
    <mergeCell ref="C31:D32"/>
    <mergeCell ref="E31:E32"/>
    <mergeCell ref="F31:F32"/>
    <mergeCell ref="G31:G32"/>
  </mergeCells>
  <dataValidations count="1">
    <dataValidation type="decimal" operator="notBetween" allowBlank="1" showInputMessage="1" showErrorMessage="1" promptTitle="Pozor!" prompt="Hodnota musí být mimo pásma bez úpravy jednotkové ceny" errorTitle="Pozor!" error="Hodnota musí být mimo pásma bez úpravy jednotkové ceny" sqref="H20">
      <formula1>SH</formula1>
      <formula2>HH</formula2>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38" r:id="rId1"/>
  <headerFooter>
    <oddHeader>&amp;C&amp;F</oddHeader>
    <oddFooter>&amp;C&amp;A</oddFooter>
  </headerFooter>
  <rowBreaks count="2" manualBreakCount="2">
    <brk id="28" min="1" max="16383" man="1"/>
    <brk id="60" min="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52"/>
  <sheetViews>
    <sheetView zoomScaleSheetLayoutView="100" workbookViewId="0" topLeftCell="A6">
      <selection activeCell="K33" sqref="K33:K34"/>
    </sheetView>
  </sheetViews>
  <sheetFormatPr defaultColWidth="0" defaultRowHeight="12.75" customHeight="1" zeroHeight="1"/>
  <cols>
    <col min="1" max="1" width="4.7109375" style="9" customWidth="1"/>
    <col min="2" max="2" width="6.7109375" style="9" customWidth="1"/>
    <col min="3" max="3" width="23.28125" style="9" customWidth="1"/>
    <col min="4" max="4" width="13.421875" style="9" bestFit="1" customWidth="1"/>
    <col min="5" max="6" width="10.7109375" style="9" customWidth="1"/>
    <col min="7" max="9" width="10.7109375" style="40" customWidth="1"/>
    <col min="10" max="14" width="10.7109375" style="9" customWidth="1"/>
    <col min="15" max="15" width="4.7109375" style="9" customWidth="1"/>
    <col min="16" max="16384" width="9.140625" style="9" hidden="1" customWidth="1"/>
  </cols>
  <sheetData>
    <row r="1" spans="1:15" ht="12.75">
      <c r="A1" s="10"/>
      <c r="B1" s="10"/>
      <c r="C1" s="10"/>
      <c r="D1" s="10"/>
      <c r="E1" s="10"/>
      <c r="F1" s="10"/>
      <c r="G1" s="219"/>
      <c r="H1" s="219"/>
      <c r="I1" s="219"/>
      <c r="J1" s="10"/>
      <c r="K1" s="10"/>
      <c r="L1" s="10"/>
      <c r="M1" s="10"/>
      <c r="N1" s="10"/>
      <c r="O1" s="10"/>
    </row>
    <row r="2" spans="1:15" ht="12.75">
      <c r="A2" s="10"/>
      <c r="B2" s="11" t="s">
        <v>133</v>
      </c>
      <c r="C2" s="11"/>
      <c r="D2" s="10"/>
      <c r="E2" s="10"/>
      <c r="F2" s="10"/>
      <c r="G2" s="219"/>
      <c r="H2" s="219"/>
      <c r="I2" s="219"/>
      <c r="J2" s="10"/>
      <c r="K2" s="226" t="s">
        <v>134</v>
      </c>
      <c r="L2" s="359"/>
      <c r="M2" s="359"/>
      <c r="N2" s="360"/>
      <c r="O2" s="359"/>
    </row>
    <row r="3" spans="1:15" ht="13.5" thickBot="1">
      <c r="A3" s="10"/>
      <c r="B3" s="11"/>
      <c r="C3" s="11"/>
      <c r="D3" s="10"/>
      <c r="E3" s="11"/>
      <c r="F3" s="10"/>
      <c r="G3" s="219"/>
      <c r="H3" s="219"/>
      <c r="I3" s="219"/>
      <c r="J3" s="10"/>
      <c r="K3" s="227" t="s">
        <v>135</v>
      </c>
      <c r="L3" s="345"/>
      <c r="M3" s="345"/>
      <c r="N3" s="345"/>
      <c r="O3" s="345"/>
    </row>
    <row r="4" spans="1:15" s="225" customFormat="1" ht="15" customHeight="1" thickBot="1">
      <c r="A4" s="224"/>
      <c r="B4" s="224" t="s">
        <v>198</v>
      </c>
      <c r="C4" s="224"/>
      <c r="D4" s="224"/>
      <c r="E4" s="224"/>
      <c r="F4" s="224"/>
      <c r="G4" s="224"/>
      <c r="H4" s="224"/>
      <c r="I4" s="532">
        <v>39</v>
      </c>
      <c r="J4" s="224"/>
      <c r="K4" s="224"/>
      <c r="L4" s="224"/>
      <c r="M4" s="224"/>
      <c r="N4" s="224"/>
      <c r="O4" s="224"/>
    </row>
    <row r="5" spans="1:15" ht="12" customHeight="1">
      <c r="A5" s="10"/>
      <c r="B5" s="11"/>
      <c r="C5" s="11"/>
      <c r="D5" s="10"/>
      <c r="E5" s="10"/>
      <c r="F5" s="10"/>
      <c r="G5" s="10"/>
      <c r="H5" s="10"/>
      <c r="I5" s="121"/>
      <c r="J5" s="10"/>
      <c r="K5" s="51"/>
      <c r="L5" s="10"/>
      <c r="M5" s="10"/>
      <c r="N5" s="10"/>
      <c r="O5" s="10"/>
    </row>
    <row r="6" spans="1:15" s="225" customFormat="1" ht="15" customHeight="1">
      <c r="A6" s="224"/>
      <c r="B6" s="51" t="s">
        <v>140</v>
      </c>
      <c r="C6" s="10"/>
      <c r="D6" s="10"/>
      <c r="E6" s="10"/>
      <c r="F6" s="10"/>
      <c r="G6" s="10"/>
      <c r="H6" s="10"/>
      <c r="I6" s="10"/>
      <c r="J6" s="10"/>
      <c r="K6" s="242"/>
      <c r="L6" s="224"/>
      <c r="M6" s="224"/>
      <c r="N6" s="224"/>
      <c r="O6" s="224"/>
    </row>
    <row r="7" spans="1:15" ht="13.5" thickBot="1">
      <c r="A7" s="10"/>
      <c r="B7" s="10"/>
      <c r="C7" s="10"/>
      <c r="D7" s="10"/>
      <c r="E7" s="10"/>
      <c r="F7" s="10"/>
      <c r="G7" s="219"/>
      <c r="H7" s="219"/>
      <c r="I7" s="219"/>
      <c r="J7" s="10"/>
      <c r="K7" s="10"/>
      <c r="L7" s="10"/>
      <c r="M7" s="10"/>
      <c r="N7" s="10"/>
      <c r="O7" s="10"/>
    </row>
    <row r="8" spans="1:15" ht="13.5" thickBot="1">
      <c r="A8" s="10"/>
      <c r="B8" s="657" t="s">
        <v>35</v>
      </c>
      <c r="C8" s="659" t="s">
        <v>36</v>
      </c>
      <c r="D8" s="660"/>
      <c r="E8" s="655" t="s">
        <v>38</v>
      </c>
      <c r="F8" s="655" t="s">
        <v>37</v>
      </c>
      <c r="G8" s="663" t="s">
        <v>234</v>
      </c>
      <c r="H8" s="663" t="s">
        <v>102</v>
      </c>
      <c r="I8" s="655" t="s">
        <v>103</v>
      </c>
      <c r="J8" s="646" t="s">
        <v>199</v>
      </c>
      <c r="K8" s="647"/>
      <c r="L8" s="648"/>
      <c r="M8" s="10"/>
      <c r="N8" s="10"/>
      <c r="O8" s="10"/>
    </row>
    <row r="9" spans="1:15" s="8" customFormat="1" ht="25.5" customHeight="1">
      <c r="A9" s="12"/>
      <c r="B9" s="658"/>
      <c r="C9" s="661"/>
      <c r="D9" s="662"/>
      <c r="E9" s="656"/>
      <c r="F9" s="656"/>
      <c r="G9" s="656"/>
      <c r="H9" s="656"/>
      <c r="I9" s="656"/>
      <c r="J9" s="141" t="s">
        <v>119</v>
      </c>
      <c r="K9" s="141" t="s">
        <v>108</v>
      </c>
      <c r="L9" s="142" t="s">
        <v>260</v>
      </c>
      <c r="M9" s="12"/>
      <c r="N9" s="12"/>
      <c r="O9" s="12"/>
    </row>
    <row r="10" spans="1:15" s="44" customFormat="1" ht="13.5" thickBot="1">
      <c r="A10" s="41"/>
      <c r="B10" s="42"/>
      <c r="C10" s="664"/>
      <c r="D10" s="665"/>
      <c r="E10" s="34"/>
      <c r="F10" s="34"/>
      <c r="G10" s="33" t="s">
        <v>39</v>
      </c>
      <c r="H10" s="33" t="s">
        <v>39</v>
      </c>
      <c r="I10" s="34" t="s">
        <v>39</v>
      </c>
      <c r="J10" s="136" t="s">
        <v>34</v>
      </c>
      <c r="K10" s="136" t="s">
        <v>34</v>
      </c>
      <c r="L10" s="43" t="s">
        <v>34</v>
      </c>
      <c r="M10" s="41"/>
      <c r="N10" s="41"/>
      <c r="O10" s="41"/>
    </row>
    <row r="11" spans="1:15" ht="13.5" thickTop="1">
      <c r="A11" s="10"/>
      <c r="B11" s="15">
        <v>11</v>
      </c>
      <c r="C11" s="666" t="s">
        <v>124</v>
      </c>
      <c r="D11" s="667"/>
      <c r="E11" s="17" t="s">
        <v>22</v>
      </c>
      <c r="F11" s="18" t="s">
        <v>119</v>
      </c>
      <c r="G11" s="35">
        <f>'NASTAVENI ZADAVATELE'!G34</f>
        <v>1</v>
      </c>
      <c r="H11" s="35">
        <f>'NASTAVENI ZADAVATELE'!H34</f>
        <v>0</v>
      </c>
      <c r="I11" s="35">
        <f>100%-G11-H11</f>
        <v>0</v>
      </c>
      <c r="J11" s="349"/>
      <c r="K11" s="350"/>
      <c r="L11" s="351"/>
      <c r="M11" s="10"/>
      <c r="N11" s="10"/>
      <c r="O11" s="10"/>
    </row>
    <row r="12" spans="1:15" ht="12.75">
      <c r="A12" s="10"/>
      <c r="B12" s="19"/>
      <c r="C12" s="668"/>
      <c r="D12" s="669"/>
      <c r="E12" s="21" t="s">
        <v>23</v>
      </c>
      <c r="F12" s="22" t="s">
        <v>108</v>
      </c>
      <c r="G12" s="35">
        <f>'NASTAVENI ZADAVATELE'!G35</f>
        <v>1</v>
      </c>
      <c r="H12" s="35">
        <f>'NASTAVENI ZADAVATELE'!H35</f>
        <v>0</v>
      </c>
      <c r="I12" s="35">
        <f>100%-G12-H12</f>
        <v>0</v>
      </c>
      <c r="J12" s="350"/>
      <c r="K12" s="533">
        <v>6.166</v>
      </c>
      <c r="L12" s="351"/>
      <c r="M12" s="10"/>
      <c r="N12" s="10"/>
      <c r="O12" s="10"/>
    </row>
    <row r="13" spans="1:15" ht="12.75">
      <c r="A13" s="10"/>
      <c r="B13" s="19"/>
      <c r="C13" s="668"/>
      <c r="D13" s="669"/>
      <c r="E13" s="21" t="s">
        <v>24</v>
      </c>
      <c r="F13" s="22" t="s">
        <v>260</v>
      </c>
      <c r="G13" s="35">
        <f>'NASTAVENI ZADAVATELE'!G36</f>
        <v>1</v>
      </c>
      <c r="H13" s="35">
        <f>'NASTAVENI ZADAVATELE'!H36</f>
        <v>0</v>
      </c>
      <c r="I13" s="35">
        <f>100%-G13-H13</f>
        <v>0</v>
      </c>
      <c r="J13" s="350"/>
      <c r="K13" s="350"/>
      <c r="L13" s="352"/>
      <c r="M13" s="10"/>
      <c r="N13" s="10"/>
      <c r="O13" s="10"/>
    </row>
    <row r="14" spans="1:15" ht="12.75">
      <c r="A14" s="10"/>
      <c r="B14" s="23"/>
      <c r="C14" s="684"/>
      <c r="D14" s="685"/>
      <c r="E14" s="21" t="s">
        <v>123</v>
      </c>
      <c r="F14" s="22" t="s">
        <v>25</v>
      </c>
      <c r="G14" s="35">
        <f>'NASTAVENI ZADAVATELE'!G37</f>
        <v>1</v>
      </c>
      <c r="H14" s="35">
        <f>'NASTAVENI ZADAVATELE'!H37</f>
        <v>0</v>
      </c>
      <c r="I14" s="35">
        <f>100%-G14-H14</f>
        <v>0</v>
      </c>
      <c r="J14" s="349"/>
      <c r="K14" s="533">
        <v>0.1</v>
      </c>
      <c r="L14" s="352"/>
      <c r="M14" s="10"/>
      <c r="N14" s="10"/>
      <c r="O14" s="10"/>
    </row>
    <row r="15" spans="1:15" ht="12.75">
      <c r="A15" s="10"/>
      <c r="B15" s="24">
        <v>12</v>
      </c>
      <c r="C15" s="649" t="s">
        <v>8</v>
      </c>
      <c r="D15" s="650"/>
      <c r="E15" s="49"/>
      <c r="F15" s="48"/>
      <c r="G15" s="35">
        <f>'NASTAVENI ZADAVATELE'!G38</f>
        <v>1</v>
      </c>
      <c r="H15" s="35">
        <f>'NASTAVENI ZADAVATELE'!H38</f>
        <v>0</v>
      </c>
      <c r="I15" s="35">
        <f aca="true" t="shared" si="0" ref="I15:I31">100%-G15-H15</f>
        <v>0</v>
      </c>
      <c r="J15" s="353"/>
      <c r="K15" s="534">
        <v>0.7732</v>
      </c>
      <c r="L15" s="354"/>
      <c r="M15" s="10"/>
      <c r="N15" s="10"/>
      <c r="O15" s="10"/>
    </row>
    <row r="16" spans="1:15" ht="12.75">
      <c r="A16" s="10"/>
      <c r="B16" s="24">
        <v>13</v>
      </c>
      <c r="C16" s="649" t="s">
        <v>9</v>
      </c>
      <c r="D16" s="650"/>
      <c r="E16" s="49"/>
      <c r="F16" s="48"/>
      <c r="G16" s="330">
        <v>1</v>
      </c>
      <c r="H16" s="35">
        <f>'NASTAVENI ZADAVATELE'!H39</f>
        <v>0</v>
      </c>
      <c r="I16" s="36">
        <f t="shared" si="0"/>
        <v>0</v>
      </c>
      <c r="J16" s="353"/>
      <c r="K16" s="534">
        <v>2.03</v>
      </c>
      <c r="L16" s="354"/>
      <c r="M16" s="10"/>
      <c r="N16" s="10"/>
      <c r="O16" s="10"/>
    </row>
    <row r="17" spans="1:15" ht="12.75">
      <c r="A17" s="10"/>
      <c r="B17" s="25">
        <v>14</v>
      </c>
      <c r="C17" s="682" t="s">
        <v>10</v>
      </c>
      <c r="D17" s="683"/>
      <c r="E17" s="21" t="s">
        <v>28</v>
      </c>
      <c r="F17" s="22" t="s">
        <v>26</v>
      </c>
      <c r="G17" s="35">
        <f>'NASTAVENI ZADAVATELE'!G40</f>
        <v>0</v>
      </c>
      <c r="H17" s="35">
        <f>'NASTAVENI ZADAVATELE'!H40</f>
        <v>1</v>
      </c>
      <c r="I17" s="36">
        <f t="shared" si="0"/>
        <v>0</v>
      </c>
      <c r="J17" s="353"/>
      <c r="K17" s="534">
        <v>7.244513079278057</v>
      </c>
      <c r="L17" s="354"/>
      <c r="M17" s="10"/>
      <c r="N17" s="10"/>
      <c r="O17" s="10"/>
    </row>
    <row r="18" spans="1:15" ht="12.75">
      <c r="A18" s="10"/>
      <c r="B18" s="23"/>
      <c r="C18" s="684"/>
      <c r="D18" s="685"/>
      <c r="E18" s="21" t="s">
        <v>29</v>
      </c>
      <c r="F18" s="22" t="s">
        <v>25</v>
      </c>
      <c r="G18" s="330">
        <v>0</v>
      </c>
      <c r="H18" s="35">
        <f>'NASTAVENI ZADAVATELE'!H41</f>
        <v>0</v>
      </c>
      <c r="I18" s="36">
        <f t="shared" si="0"/>
        <v>1</v>
      </c>
      <c r="J18" s="353"/>
      <c r="K18" s="534">
        <v>0.07608223264610665</v>
      </c>
      <c r="L18" s="354"/>
      <c r="M18" s="10"/>
      <c r="N18" s="10"/>
      <c r="O18" s="10"/>
    </row>
    <row r="19" spans="1:15" ht="12.75">
      <c r="A19" s="10"/>
      <c r="B19" s="24">
        <v>15</v>
      </c>
      <c r="C19" s="649" t="s">
        <v>42</v>
      </c>
      <c r="D19" s="650"/>
      <c r="E19" s="694"/>
      <c r="F19" s="697"/>
      <c r="G19" s="35">
        <f>'NASTAVENI ZADAVATELE'!G42</f>
        <v>0</v>
      </c>
      <c r="H19" s="35">
        <f>'NASTAVENI ZADAVATELE'!H42</f>
        <v>1</v>
      </c>
      <c r="I19" s="36">
        <f t="shared" si="0"/>
        <v>0</v>
      </c>
      <c r="J19" s="353"/>
      <c r="K19" s="534">
        <v>0</v>
      </c>
      <c r="L19" s="354"/>
      <c r="M19" s="10"/>
      <c r="N19" s="10"/>
      <c r="O19" s="10"/>
    </row>
    <row r="20" spans="1:15" ht="12.75">
      <c r="A20" s="10"/>
      <c r="B20" s="25">
        <v>16</v>
      </c>
      <c r="C20" s="682" t="s">
        <v>11</v>
      </c>
      <c r="D20" s="683"/>
      <c r="E20" s="21" t="s">
        <v>30</v>
      </c>
      <c r="F20" s="22" t="s">
        <v>27</v>
      </c>
      <c r="G20" s="35">
        <f>'NASTAVENI ZADAVATELE'!G43</f>
        <v>0.6666666666666666</v>
      </c>
      <c r="H20" s="35">
        <f>'NASTAVENI ZADAVATELE'!H43</f>
        <v>0.3333333333333333</v>
      </c>
      <c r="I20" s="35">
        <f t="shared" si="0"/>
        <v>0</v>
      </c>
      <c r="J20" s="353"/>
      <c r="K20" s="534">
        <v>6.145959866436713</v>
      </c>
      <c r="L20" s="354"/>
      <c r="M20" s="10"/>
      <c r="N20" s="10"/>
      <c r="O20" s="10"/>
    </row>
    <row r="21" spans="1:15" ht="12.75">
      <c r="A21" s="10"/>
      <c r="B21" s="23"/>
      <c r="C21" s="684"/>
      <c r="D21" s="685"/>
      <c r="E21" s="21" t="s">
        <v>31</v>
      </c>
      <c r="F21" s="22" t="s">
        <v>25</v>
      </c>
      <c r="G21" s="330">
        <v>0.67</v>
      </c>
      <c r="H21" s="330">
        <v>0</v>
      </c>
      <c r="I21" s="36">
        <f t="shared" si="0"/>
        <v>0.32999999999999996</v>
      </c>
      <c r="J21" s="353"/>
      <c r="K21" s="534">
        <v>0.222679705305678</v>
      </c>
      <c r="L21" s="354"/>
      <c r="M21" s="10"/>
      <c r="N21" s="10"/>
      <c r="O21" s="10"/>
    </row>
    <row r="22" spans="1:15" ht="12.75">
      <c r="A22" s="10"/>
      <c r="B22" s="25">
        <v>17</v>
      </c>
      <c r="C22" s="682" t="s">
        <v>12</v>
      </c>
      <c r="D22" s="683"/>
      <c r="E22" s="21" t="s">
        <v>40</v>
      </c>
      <c r="F22" s="22" t="s">
        <v>27</v>
      </c>
      <c r="G22" s="36">
        <f>'NASTAVENI ZADAVATELE'!G45</f>
        <v>0.6666666666666666</v>
      </c>
      <c r="H22" s="36">
        <f>'NASTAVENI ZADAVATELE'!H45</f>
        <v>0.3333333333333333</v>
      </c>
      <c r="I22" s="36">
        <f t="shared" si="0"/>
        <v>0</v>
      </c>
      <c r="J22" s="353"/>
      <c r="K22" s="534">
        <v>2.0896263545884826</v>
      </c>
      <c r="L22" s="354"/>
      <c r="M22" s="10"/>
      <c r="N22" s="10"/>
      <c r="O22" s="10"/>
    </row>
    <row r="23" spans="1:15" ht="12.75">
      <c r="A23" s="10"/>
      <c r="B23" s="23"/>
      <c r="C23" s="684"/>
      <c r="D23" s="685"/>
      <c r="E23" s="21" t="s">
        <v>41</v>
      </c>
      <c r="F23" s="22" t="s">
        <v>25</v>
      </c>
      <c r="G23" s="37">
        <f>G21</f>
        <v>0.67</v>
      </c>
      <c r="H23" s="37">
        <f>H21</f>
        <v>0</v>
      </c>
      <c r="I23" s="36">
        <f t="shared" si="0"/>
        <v>0.32999999999999996</v>
      </c>
      <c r="J23" s="353"/>
      <c r="K23" s="534">
        <v>0.07571109980393052</v>
      </c>
      <c r="L23" s="354"/>
      <c r="M23" s="10"/>
      <c r="N23" s="10"/>
      <c r="O23" s="10"/>
    </row>
    <row r="24" spans="1:15" ht="12.75">
      <c r="A24" s="10"/>
      <c r="B24" s="24">
        <v>18</v>
      </c>
      <c r="C24" s="649" t="s">
        <v>13</v>
      </c>
      <c r="D24" s="650"/>
      <c r="E24" s="49"/>
      <c r="F24" s="48"/>
      <c r="G24" s="330">
        <v>0.65</v>
      </c>
      <c r="H24" s="35">
        <f>'NASTAVENI ZADAVATELE'!H47</f>
        <v>0</v>
      </c>
      <c r="I24" s="36">
        <f t="shared" si="0"/>
        <v>0.35</v>
      </c>
      <c r="J24" s="353"/>
      <c r="K24" s="534">
        <v>0.424</v>
      </c>
      <c r="L24" s="354"/>
      <c r="M24" s="10"/>
      <c r="N24" s="10"/>
      <c r="O24" s="10"/>
    </row>
    <row r="25" spans="1:15" ht="12.75">
      <c r="A25" s="10"/>
      <c r="B25" s="24">
        <v>19</v>
      </c>
      <c r="C25" s="649" t="s">
        <v>14</v>
      </c>
      <c r="D25" s="650"/>
      <c r="E25" s="49"/>
      <c r="F25" s="48"/>
      <c r="G25" s="330">
        <v>1</v>
      </c>
      <c r="H25" s="35">
        <f>'NASTAVENI ZADAVATELE'!H48</f>
        <v>0</v>
      </c>
      <c r="I25" s="36">
        <f t="shared" si="0"/>
        <v>0</v>
      </c>
      <c r="J25" s="353"/>
      <c r="K25" s="534">
        <v>0.279834163000802</v>
      </c>
      <c r="L25" s="354"/>
      <c r="M25" s="10"/>
      <c r="N25" s="10"/>
      <c r="O25" s="10"/>
    </row>
    <row r="26" spans="1:15" ht="12.75">
      <c r="A26" s="10"/>
      <c r="B26" s="24">
        <v>20</v>
      </c>
      <c r="C26" s="649" t="s">
        <v>15</v>
      </c>
      <c r="D26" s="650"/>
      <c r="E26" s="49"/>
      <c r="F26" s="48"/>
      <c r="G26" s="35">
        <f>'NASTAVENI ZADAVATELE'!G49</f>
        <v>0</v>
      </c>
      <c r="H26" s="35">
        <f>'NASTAVENI ZADAVATELE'!H49</f>
        <v>1</v>
      </c>
      <c r="I26" s="36">
        <f t="shared" si="0"/>
        <v>0</v>
      </c>
      <c r="J26" s="387">
        <v>0</v>
      </c>
      <c r="K26" s="387">
        <v>0</v>
      </c>
      <c r="L26" s="388">
        <v>0</v>
      </c>
      <c r="M26" s="10"/>
      <c r="N26" s="10"/>
      <c r="O26" s="10"/>
    </row>
    <row r="27" spans="1:15" ht="12.75">
      <c r="A27" s="10"/>
      <c r="B27" s="24">
        <v>21</v>
      </c>
      <c r="C27" s="649" t="s">
        <v>16</v>
      </c>
      <c r="D27" s="650"/>
      <c r="E27" s="49"/>
      <c r="F27" s="48"/>
      <c r="G27" s="35">
        <f>'NASTAVENI ZADAVATELE'!G50</f>
        <v>1</v>
      </c>
      <c r="H27" s="35">
        <f>'NASTAVENI ZADAVATELE'!H50</f>
        <v>0</v>
      </c>
      <c r="I27" s="36">
        <f t="shared" si="0"/>
        <v>0</v>
      </c>
      <c r="J27" s="387">
        <f>'NASTAVENI ZADAVATELE'!$H$18</f>
        <v>0.03196</v>
      </c>
      <c r="K27" s="387">
        <f>'NASTAVENI ZADAVATELE'!$H$18</f>
        <v>0.03196</v>
      </c>
      <c r="L27" s="388">
        <f>'NASTAVENI ZADAVATELE'!$H$18</f>
        <v>0.03196</v>
      </c>
      <c r="M27" s="10"/>
      <c r="N27" s="10"/>
      <c r="O27" s="10"/>
    </row>
    <row r="28" spans="1:15" ht="12.75">
      <c r="A28" s="10"/>
      <c r="B28" s="24">
        <v>22</v>
      </c>
      <c r="C28" s="649" t="s">
        <v>17</v>
      </c>
      <c r="D28" s="650"/>
      <c r="E28" s="49"/>
      <c r="F28" s="48"/>
      <c r="G28" s="330">
        <v>0</v>
      </c>
      <c r="H28" s="330"/>
      <c r="I28" s="36">
        <f t="shared" si="0"/>
        <v>1</v>
      </c>
      <c r="J28" s="353"/>
      <c r="K28" s="534">
        <v>0.25</v>
      </c>
      <c r="L28" s="354"/>
      <c r="M28" s="10"/>
      <c r="N28" s="10"/>
      <c r="O28" s="10"/>
    </row>
    <row r="29" spans="1:15" ht="12.75">
      <c r="A29" s="10"/>
      <c r="B29" s="24">
        <v>23</v>
      </c>
      <c r="C29" s="649" t="s">
        <v>18</v>
      </c>
      <c r="D29" s="650"/>
      <c r="E29" s="49"/>
      <c r="F29" s="48"/>
      <c r="G29" s="330">
        <v>0.75</v>
      </c>
      <c r="H29" s="330"/>
      <c r="I29" s="36">
        <f t="shared" si="0"/>
        <v>0.25</v>
      </c>
      <c r="J29" s="353"/>
      <c r="K29" s="534">
        <v>0.45</v>
      </c>
      <c r="L29" s="354"/>
      <c r="M29" s="10"/>
      <c r="N29" s="10"/>
      <c r="O29" s="10"/>
    </row>
    <row r="30" spans="1:15" ht="12.75">
      <c r="A30" s="10"/>
      <c r="B30" s="24">
        <v>24</v>
      </c>
      <c r="C30" s="649" t="s">
        <v>19</v>
      </c>
      <c r="D30" s="650"/>
      <c r="E30" s="49"/>
      <c r="F30" s="48"/>
      <c r="G30" s="330">
        <v>0.75</v>
      </c>
      <c r="H30" s="330"/>
      <c r="I30" s="36">
        <f t="shared" si="0"/>
        <v>0.25</v>
      </c>
      <c r="J30" s="353"/>
      <c r="K30" s="534">
        <v>0.85</v>
      </c>
      <c r="L30" s="354"/>
      <c r="M30" s="10"/>
      <c r="N30" s="10"/>
      <c r="O30" s="10"/>
    </row>
    <row r="31" spans="1:15" ht="12.75">
      <c r="A31" s="10"/>
      <c r="B31" s="24">
        <v>25</v>
      </c>
      <c r="C31" s="649" t="s">
        <v>20</v>
      </c>
      <c r="D31" s="650"/>
      <c r="E31" s="49"/>
      <c r="F31" s="48"/>
      <c r="G31" s="330">
        <v>1</v>
      </c>
      <c r="H31" s="330"/>
      <c r="I31" s="36">
        <f t="shared" si="0"/>
        <v>0</v>
      </c>
      <c r="J31" s="353"/>
      <c r="K31" s="534">
        <v>0.58</v>
      </c>
      <c r="L31" s="354"/>
      <c r="M31" s="10"/>
      <c r="N31" s="10"/>
      <c r="O31" s="10"/>
    </row>
    <row r="32" spans="1:15" ht="13.5" thickBot="1">
      <c r="A32" s="10"/>
      <c r="B32" s="27">
        <v>26</v>
      </c>
      <c r="C32" s="674" t="s">
        <v>21</v>
      </c>
      <c r="D32" s="675"/>
      <c r="E32" s="86"/>
      <c r="F32" s="82"/>
      <c r="G32" s="38"/>
      <c r="H32" s="38"/>
      <c r="I32" s="38"/>
      <c r="J32" s="355">
        <f>SUM(J11:J31)</f>
        <v>0.03196</v>
      </c>
      <c r="K32" s="355">
        <f aca="true" t="shared" si="1" ref="K32:L32">SUM(K11:K31)</f>
        <v>27.78956650105977</v>
      </c>
      <c r="L32" s="356">
        <f t="shared" si="1"/>
        <v>0.03196</v>
      </c>
      <c r="M32" s="10"/>
      <c r="N32" s="10"/>
      <c r="O32" s="10"/>
    </row>
    <row r="33" spans="1:15" ht="12.75">
      <c r="A33" s="10"/>
      <c r="B33" s="83"/>
      <c r="C33" s="698" t="s">
        <v>83</v>
      </c>
      <c r="D33" s="699"/>
      <c r="E33" s="699"/>
      <c r="F33" s="700"/>
      <c r="G33" s="35">
        <f>'NASTAVENI ZADAVATELE'!G56</f>
        <v>0</v>
      </c>
      <c r="H33" s="35">
        <f>'NASTAVENI ZADAVATELE'!H56</f>
        <v>1</v>
      </c>
      <c r="I33" s="35">
        <f aca="true" t="shared" si="2" ref="I33:I35">100%-G33-H33</f>
        <v>0</v>
      </c>
      <c r="J33" s="349"/>
      <c r="K33" s="533">
        <v>0</v>
      </c>
      <c r="L33" s="352"/>
      <c r="M33" s="10"/>
      <c r="N33" s="10"/>
      <c r="O33" s="10"/>
    </row>
    <row r="34" spans="1:15" ht="12.75">
      <c r="A34" s="10"/>
      <c r="B34" s="45"/>
      <c r="C34" s="693" t="s">
        <v>44</v>
      </c>
      <c r="D34" s="694"/>
      <c r="E34" s="28"/>
      <c r="F34" s="48"/>
      <c r="G34" s="330">
        <v>1</v>
      </c>
      <c r="H34" s="330"/>
      <c r="I34" s="36">
        <f t="shared" si="2"/>
        <v>0</v>
      </c>
      <c r="J34" s="353"/>
      <c r="K34" s="534">
        <v>0.1</v>
      </c>
      <c r="L34" s="354"/>
      <c r="M34" s="10"/>
      <c r="N34" s="10"/>
      <c r="O34" s="10"/>
    </row>
    <row r="35" spans="1:15" ht="12.75">
      <c r="A35" s="10"/>
      <c r="B35" s="334"/>
      <c r="C35" s="335" t="s">
        <v>226</v>
      </c>
      <c r="D35" s="336"/>
      <c r="E35" s="99"/>
      <c r="F35" s="100"/>
      <c r="G35" s="35">
        <f>'NASTAVENI ZADAVATELE'!G58</f>
        <v>1</v>
      </c>
      <c r="H35" s="35">
        <f>'NASTAVENI ZADAVATELE'!H58</f>
        <v>0</v>
      </c>
      <c r="I35" s="36">
        <f t="shared" si="2"/>
        <v>0</v>
      </c>
      <c r="J35" s="357">
        <f>IF(J32&gt;0,PopKOD,0)</f>
        <v>1.1</v>
      </c>
      <c r="K35" s="357">
        <f>IF(K32&gt;0,PopKOD,0)</f>
        <v>1.1</v>
      </c>
      <c r="L35" s="358">
        <f>IF(L32&gt;0,PopKOD,0)</f>
        <v>1.1</v>
      </c>
      <c r="M35" s="10"/>
      <c r="N35" s="10"/>
      <c r="O35" s="10"/>
    </row>
    <row r="36" spans="1:15" ht="13.5" thickBot="1">
      <c r="A36" s="10"/>
      <c r="B36" s="46"/>
      <c r="C36" s="695" t="s">
        <v>46</v>
      </c>
      <c r="D36" s="696"/>
      <c r="E36" s="29"/>
      <c r="F36" s="82"/>
      <c r="G36" s="39"/>
      <c r="H36" s="39"/>
      <c r="I36" s="39"/>
      <c r="J36" s="355">
        <f>SUM(J32:J35)</f>
        <v>1.13196</v>
      </c>
      <c r="K36" s="355">
        <f aca="true" t="shared" si="3" ref="K36:L36">SUM(K32:K35)</f>
        <v>28.989566501059773</v>
      </c>
      <c r="L36" s="356">
        <f t="shared" si="3"/>
        <v>1.13196</v>
      </c>
      <c r="M36" s="10"/>
      <c r="N36" s="10"/>
      <c r="O36" s="10"/>
    </row>
    <row r="37" spans="1:15" ht="12.75">
      <c r="A37" s="10"/>
      <c r="B37" s="11"/>
      <c r="C37" s="11"/>
      <c r="D37" s="10"/>
      <c r="E37" s="10"/>
      <c r="F37" s="10"/>
      <c r="G37" s="10"/>
      <c r="H37" s="10"/>
      <c r="I37" s="10"/>
      <c r="J37" s="10"/>
      <c r="K37" s="10"/>
      <c r="L37" s="10"/>
      <c r="M37" s="10"/>
      <c r="N37" s="10"/>
      <c r="O37" s="10"/>
    </row>
    <row r="38" spans="1:15" ht="12.75">
      <c r="A38" s="10"/>
      <c r="B38" s="11" t="s">
        <v>98</v>
      </c>
      <c r="C38" s="11"/>
      <c r="D38" s="10"/>
      <c r="E38" s="10"/>
      <c r="F38" s="10"/>
      <c r="G38" s="10"/>
      <c r="H38" s="10"/>
      <c r="I38" s="10"/>
      <c r="J38" s="10"/>
      <c r="K38" s="10"/>
      <c r="L38" s="10"/>
      <c r="M38" s="10"/>
      <c r="N38" s="10"/>
      <c r="O38" s="10"/>
    </row>
    <row r="39" spans="1:15" ht="12.75">
      <c r="A39" s="10"/>
      <c r="B39" s="223" t="s">
        <v>139</v>
      </c>
      <c r="C39" s="223"/>
      <c r="D39" s="10"/>
      <c r="E39" s="10"/>
      <c r="F39" s="10"/>
      <c r="G39" s="10"/>
      <c r="H39" s="10"/>
      <c r="I39" s="10"/>
      <c r="J39" s="10"/>
      <c r="K39" s="10"/>
      <c r="L39" s="10"/>
      <c r="M39" s="10"/>
      <c r="N39" s="10"/>
      <c r="O39" s="10"/>
    </row>
    <row r="40" spans="1:15" ht="13.5" thickBot="1">
      <c r="A40" s="10"/>
      <c r="B40" s="10"/>
      <c r="C40" s="10"/>
      <c r="D40" s="10"/>
      <c r="E40" s="10"/>
      <c r="F40" s="10"/>
      <c r="G40" s="10"/>
      <c r="H40" s="10"/>
      <c r="I40" s="10"/>
      <c r="J40" s="10"/>
      <c r="K40" s="10"/>
      <c r="L40" s="10"/>
      <c r="M40" s="10"/>
      <c r="N40" s="10"/>
      <c r="O40" s="10"/>
    </row>
    <row r="41" spans="1:15" ht="12.75">
      <c r="A41" s="10"/>
      <c r="B41" s="670" t="s">
        <v>7</v>
      </c>
      <c r="C41" s="671"/>
      <c r="D41" s="680" t="s">
        <v>269</v>
      </c>
      <c r="E41" s="690" t="s">
        <v>101</v>
      </c>
      <c r="F41" s="691"/>
      <c r="G41" s="691"/>
      <c r="H41" s="691"/>
      <c r="I41" s="691"/>
      <c r="J41" s="691"/>
      <c r="K41" s="691"/>
      <c r="L41" s="691"/>
      <c r="M41" s="691"/>
      <c r="N41" s="692"/>
      <c r="O41" s="10"/>
    </row>
    <row r="42" spans="1:15" ht="13.5" thickBot="1">
      <c r="A42" s="10"/>
      <c r="B42" s="672"/>
      <c r="C42" s="673"/>
      <c r="D42" s="681"/>
      <c r="E42" s="108">
        <f>VR</f>
        <v>1</v>
      </c>
      <c r="F42" s="109">
        <f>E42+1</f>
        <v>2</v>
      </c>
      <c r="G42" s="109">
        <f aca="true" t="shared" si="4" ref="G42:N42">F42+1</f>
        <v>3</v>
      </c>
      <c r="H42" s="109">
        <f t="shared" si="4"/>
        <v>4</v>
      </c>
      <c r="I42" s="109">
        <f t="shared" si="4"/>
        <v>5</v>
      </c>
      <c r="J42" s="109">
        <f t="shared" si="4"/>
        <v>6</v>
      </c>
      <c r="K42" s="109">
        <f t="shared" si="4"/>
        <v>7</v>
      </c>
      <c r="L42" s="109">
        <f t="shared" si="4"/>
        <v>8</v>
      </c>
      <c r="M42" s="109">
        <f t="shared" si="4"/>
        <v>9</v>
      </c>
      <c r="N42" s="110">
        <f t="shared" si="4"/>
        <v>10</v>
      </c>
      <c r="O42" s="10"/>
    </row>
    <row r="43" spans="1:15" ht="13.5" thickTop="1">
      <c r="A43" s="10"/>
      <c r="B43" s="651" t="s">
        <v>114</v>
      </c>
      <c r="C43" s="652"/>
      <c r="D43" s="112" t="s">
        <v>122</v>
      </c>
      <c r="E43" s="243">
        <f>1-E44</f>
        <v>0.487179487179487</v>
      </c>
      <c r="F43" s="244">
        <f aca="true" t="shared" si="5" ref="F43:N43">1-F44</f>
        <v>0.487179487179487</v>
      </c>
      <c r="G43" s="244">
        <f t="shared" si="5"/>
        <v>0.487179487179487</v>
      </c>
      <c r="H43" s="244">
        <f t="shared" si="5"/>
        <v>0.487179487179487</v>
      </c>
      <c r="I43" s="244">
        <f t="shared" si="5"/>
        <v>0.487179487179487</v>
      </c>
      <c r="J43" s="244">
        <f t="shared" si="5"/>
        <v>0.487179487179487</v>
      </c>
      <c r="K43" s="244">
        <f t="shared" si="5"/>
        <v>0.487179487179487</v>
      </c>
      <c r="L43" s="244">
        <f t="shared" si="5"/>
        <v>0.487179487179487</v>
      </c>
      <c r="M43" s="244">
        <f t="shared" si="5"/>
        <v>0.487179487179487</v>
      </c>
      <c r="N43" s="245">
        <f t="shared" si="5"/>
        <v>0.487179487179487</v>
      </c>
      <c r="O43" s="10"/>
    </row>
    <row r="44" spans="1:15" ht="12.75">
      <c r="A44" s="10"/>
      <c r="B44" s="653"/>
      <c r="C44" s="654"/>
      <c r="D44" s="113" t="s">
        <v>121</v>
      </c>
      <c r="E44" s="535">
        <v>0.512820512820513</v>
      </c>
      <c r="F44" s="536">
        <v>0.512820512820513</v>
      </c>
      <c r="G44" s="536">
        <v>0.512820512820513</v>
      </c>
      <c r="H44" s="536">
        <v>0.512820512820513</v>
      </c>
      <c r="I44" s="536">
        <v>0.512820512820513</v>
      </c>
      <c r="J44" s="536">
        <v>0.512820512820513</v>
      </c>
      <c r="K44" s="536">
        <v>0.512820512820513</v>
      </c>
      <c r="L44" s="536">
        <v>0.512820512820513</v>
      </c>
      <c r="M44" s="536">
        <v>0.512820512820513</v>
      </c>
      <c r="N44" s="537">
        <v>0.512820512820513</v>
      </c>
      <c r="O44" s="10"/>
    </row>
    <row r="45" spans="1:15" ht="12.75">
      <c r="A45" s="10"/>
      <c r="B45" s="687" t="s">
        <v>111</v>
      </c>
      <c r="C45" s="677"/>
      <c r="D45" s="1" t="s">
        <v>0</v>
      </c>
      <c r="E45" s="246">
        <f>1-E46-E47</f>
        <v>0</v>
      </c>
      <c r="F45" s="244">
        <f aca="true" t="shared" si="6" ref="F45:N45">1-F46-F47</f>
        <v>0</v>
      </c>
      <c r="G45" s="244">
        <f t="shared" si="6"/>
        <v>0</v>
      </c>
      <c r="H45" s="244">
        <f t="shared" si="6"/>
        <v>0</v>
      </c>
      <c r="I45" s="244">
        <f t="shared" si="6"/>
        <v>0</v>
      </c>
      <c r="J45" s="244">
        <f t="shared" si="6"/>
        <v>0</v>
      </c>
      <c r="K45" s="244">
        <f t="shared" si="6"/>
        <v>0</v>
      </c>
      <c r="L45" s="244">
        <f t="shared" si="6"/>
        <v>0</v>
      </c>
      <c r="M45" s="244">
        <f t="shared" si="6"/>
        <v>0</v>
      </c>
      <c r="N45" s="245">
        <f t="shared" si="6"/>
        <v>0</v>
      </c>
      <c r="O45" s="10"/>
    </row>
    <row r="46" spans="1:15" ht="12.75">
      <c r="A46" s="10"/>
      <c r="B46" s="688"/>
      <c r="C46" s="689"/>
      <c r="D46" s="114" t="s">
        <v>108</v>
      </c>
      <c r="E46" s="538">
        <v>1</v>
      </c>
      <c r="F46" s="539">
        <v>1</v>
      </c>
      <c r="G46" s="539">
        <v>1</v>
      </c>
      <c r="H46" s="539">
        <v>1</v>
      </c>
      <c r="I46" s="539">
        <v>1</v>
      </c>
      <c r="J46" s="539">
        <v>1</v>
      </c>
      <c r="K46" s="539">
        <v>1</v>
      </c>
      <c r="L46" s="539">
        <v>1</v>
      </c>
      <c r="M46" s="539">
        <v>1</v>
      </c>
      <c r="N46" s="540">
        <v>1</v>
      </c>
      <c r="O46" s="10"/>
    </row>
    <row r="47" spans="1:15" ht="12.75">
      <c r="A47" s="10"/>
      <c r="B47" s="653"/>
      <c r="C47" s="654"/>
      <c r="D47" s="114" t="s">
        <v>259</v>
      </c>
      <c r="E47" s="331">
        <v>0</v>
      </c>
      <c r="F47" s="331">
        <v>0</v>
      </c>
      <c r="G47" s="331">
        <v>0</v>
      </c>
      <c r="H47" s="331">
        <v>0</v>
      </c>
      <c r="I47" s="331">
        <v>0</v>
      </c>
      <c r="J47" s="331">
        <v>0</v>
      </c>
      <c r="K47" s="331">
        <v>0</v>
      </c>
      <c r="L47" s="331">
        <v>0</v>
      </c>
      <c r="M47" s="331">
        <v>0</v>
      </c>
      <c r="N47" s="331">
        <v>0</v>
      </c>
      <c r="O47" s="10"/>
    </row>
    <row r="48" spans="1:15" ht="12.75">
      <c r="A48" s="10"/>
      <c r="B48" s="676" t="s">
        <v>112</v>
      </c>
      <c r="C48" s="677"/>
      <c r="D48" s="1" t="s">
        <v>2</v>
      </c>
      <c r="E48" s="538">
        <v>1</v>
      </c>
      <c r="F48" s="539">
        <v>1</v>
      </c>
      <c r="G48" s="539">
        <v>1</v>
      </c>
      <c r="H48" s="539">
        <v>1</v>
      </c>
      <c r="I48" s="539">
        <v>1</v>
      </c>
      <c r="J48" s="539">
        <v>1</v>
      </c>
      <c r="K48" s="539">
        <v>1</v>
      </c>
      <c r="L48" s="539">
        <v>1</v>
      </c>
      <c r="M48" s="539">
        <v>1</v>
      </c>
      <c r="N48" s="540">
        <v>1</v>
      </c>
      <c r="O48" s="10"/>
    </row>
    <row r="49" spans="1:15" ht="12.75">
      <c r="A49" s="10"/>
      <c r="B49" s="686"/>
      <c r="C49" s="654"/>
      <c r="D49" s="2" t="s">
        <v>1</v>
      </c>
      <c r="E49" s="247">
        <f>1-E48</f>
        <v>0</v>
      </c>
      <c r="F49" s="248">
        <f aca="true" t="shared" si="7" ref="F49:N49">1-F48</f>
        <v>0</v>
      </c>
      <c r="G49" s="248">
        <f t="shared" si="7"/>
        <v>0</v>
      </c>
      <c r="H49" s="248">
        <f t="shared" si="7"/>
        <v>0</v>
      </c>
      <c r="I49" s="248">
        <f t="shared" si="7"/>
        <v>0</v>
      </c>
      <c r="J49" s="248">
        <f t="shared" si="7"/>
        <v>0</v>
      </c>
      <c r="K49" s="248">
        <f t="shared" si="7"/>
        <v>0</v>
      </c>
      <c r="L49" s="248">
        <f t="shared" si="7"/>
        <v>0</v>
      </c>
      <c r="M49" s="248">
        <f t="shared" si="7"/>
        <v>0</v>
      </c>
      <c r="N49" s="249">
        <f t="shared" si="7"/>
        <v>0</v>
      </c>
      <c r="O49" s="10"/>
    </row>
    <row r="50" spans="1:15" ht="12.75">
      <c r="A50" s="10"/>
      <c r="B50" s="676" t="s">
        <v>113</v>
      </c>
      <c r="C50" s="677"/>
      <c r="D50" s="104" t="s">
        <v>2</v>
      </c>
      <c r="E50" s="538">
        <v>1</v>
      </c>
      <c r="F50" s="539">
        <v>1</v>
      </c>
      <c r="G50" s="539">
        <v>1</v>
      </c>
      <c r="H50" s="539">
        <v>1</v>
      </c>
      <c r="I50" s="539">
        <v>1</v>
      </c>
      <c r="J50" s="539">
        <v>1</v>
      </c>
      <c r="K50" s="539">
        <v>1</v>
      </c>
      <c r="L50" s="539">
        <v>1</v>
      </c>
      <c r="M50" s="539">
        <v>1</v>
      </c>
      <c r="N50" s="540">
        <v>1</v>
      </c>
      <c r="O50" s="10"/>
    </row>
    <row r="51" spans="1:15" ht="13.5" thickBot="1">
      <c r="A51" s="10"/>
      <c r="B51" s="678"/>
      <c r="C51" s="679"/>
      <c r="D51" s="3" t="s">
        <v>1</v>
      </c>
      <c r="E51" s="250">
        <f>1-E50</f>
        <v>0</v>
      </c>
      <c r="F51" s="251">
        <f aca="true" t="shared" si="8" ref="F51:N51">1-F50</f>
        <v>0</v>
      </c>
      <c r="G51" s="251">
        <f t="shared" si="8"/>
        <v>0</v>
      </c>
      <c r="H51" s="251">
        <f t="shared" si="8"/>
        <v>0</v>
      </c>
      <c r="I51" s="251">
        <f t="shared" si="8"/>
        <v>0</v>
      </c>
      <c r="J51" s="251">
        <f t="shared" si="8"/>
        <v>0</v>
      </c>
      <c r="K51" s="251">
        <f t="shared" si="8"/>
        <v>0</v>
      </c>
      <c r="L51" s="251">
        <f t="shared" si="8"/>
        <v>0</v>
      </c>
      <c r="M51" s="251">
        <f t="shared" si="8"/>
        <v>0</v>
      </c>
      <c r="N51" s="252">
        <f t="shared" si="8"/>
        <v>0</v>
      </c>
      <c r="O51" s="10"/>
    </row>
    <row r="52" spans="1:15" ht="12.75">
      <c r="A52" s="10"/>
      <c r="B52" s="10"/>
      <c r="C52" s="10"/>
      <c r="D52" s="10"/>
      <c r="E52" s="10"/>
      <c r="F52" s="10"/>
      <c r="G52" s="219"/>
      <c r="H52" s="219"/>
      <c r="I52" s="219"/>
      <c r="J52" s="10"/>
      <c r="K52" s="10"/>
      <c r="L52" s="10"/>
      <c r="M52" s="10"/>
      <c r="N52" s="10"/>
      <c r="O52" s="10"/>
    </row>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sheetData>
  <sheetProtection password="EEFD" sheet="1" objects="1" scenarios="1" formatRows="0"/>
  <mergeCells count="41">
    <mergeCell ref="C13:D13"/>
    <mergeCell ref="C14:D14"/>
    <mergeCell ref="C15:D15"/>
    <mergeCell ref="E41:N41"/>
    <mergeCell ref="C34:D34"/>
    <mergeCell ref="C36:D36"/>
    <mergeCell ref="C25:D25"/>
    <mergeCell ref="C19:F19"/>
    <mergeCell ref="C33:F33"/>
    <mergeCell ref="B50:C51"/>
    <mergeCell ref="D41:D42"/>
    <mergeCell ref="C27:D27"/>
    <mergeCell ref="C16:D16"/>
    <mergeCell ref="C17:D17"/>
    <mergeCell ref="C18:D18"/>
    <mergeCell ref="C20:D20"/>
    <mergeCell ref="C21:D21"/>
    <mergeCell ref="C22:D22"/>
    <mergeCell ref="C23:D23"/>
    <mergeCell ref="C24:D24"/>
    <mergeCell ref="B48:C49"/>
    <mergeCell ref="C26:D26"/>
    <mergeCell ref="C28:D28"/>
    <mergeCell ref="C29:D29"/>
    <mergeCell ref="B45:C47"/>
    <mergeCell ref="J8:L8"/>
    <mergeCell ref="C30:D30"/>
    <mergeCell ref="C31:D31"/>
    <mergeCell ref="B43:C44"/>
    <mergeCell ref="I8:I9"/>
    <mergeCell ref="F8:F9"/>
    <mergeCell ref="E8:E9"/>
    <mergeCell ref="B8:B9"/>
    <mergeCell ref="C8:D9"/>
    <mergeCell ref="G8:G9"/>
    <mergeCell ref="H8:H9"/>
    <mergeCell ref="C10:D10"/>
    <mergeCell ref="C11:D11"/>
    <mergeCell ref="C12:D12"/>
    <mergeCell ref="B41:C42"/>
    <mergeCell ref="C32:D32"/>
  </mergeCells>
  <conditionalFormatting sqref="J34">
    <cfRule type="expression" priority="6" dxfId="5">
      <formula>AND(J32-J27&gt;0,ROUND(J34,3)&lt;0.001)</formula>
    </cfRule>
  </conditionalFormatting>
  <conditionalFormatting sqref="L34">
    <cfRule type="expression" priority="4" dxfId="5">
      <formula>AND(L32-L27&gt;0,ROUND(L34,3)&lt;0.001)</formula>
    </cfRule>
  </conditionalFormatting>
  <conditionalFormatting sqref="E44:N44">
    <cfRule type="cellIs" priority="2" dxfId="23" operator="lessThan">
      <formula>E59</formula>
    </cfRule>
  </conditionalFormatting>
  <conditionalFormatting sqref="K34">
    <cfRule type="expression" priority="1" dxfId="23">
      <formula>AND(K32-K27&gt;0,ROUND(K34,3)&lt;0.001)</formula>
    </cfRule>
  </conditionalFormatting>
  <conditionalFormatting sqref="E47:N47">
    <cfRule type="expression" priority="11" dxfId="5">
      <formula>E47&lt;'Technicke hodnoceni'!D37</formula>
    </cfRule>
  </conditionalFormatting>
  <conditionalFormatting sqref="J11:J36">
    <cfRule type="expression" priority="104" dxfId="5">
      <formula>$J$36&gt;'NASTAVENI ZADAVATELE'!$H$13</formula>
    </cfRule>
  </conditionalFormatting>
  <conditionalFormatting sqref="K11 K13 K26:K27 K32 K35:K36">
    <cfRule type="expression" priority="106" dxfId="5">
      <formula>$K$36&gt;'NASTAVENI ZADAVATELE'!$H$14</formula>
    </cfRule>
  </conditionalFormatting>
  <conditionalFormatting sqref="L11:L36">
    <cfRule type="expression" priority="108" dxfId="5">
      <formula>$L$36&gt;'NASTAVENI ZADAVATELE'!$H$15</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73" r:id="rId1"/>
  <headerFooter>
    <oddHeader>&amp;C&amp;F</oddHeader>
    <oddFooter>&amp;C&amp;A</oddFooter>
  </headerFooter>
  <rowBreaks count="1" manualBreakCount="1">
    <brk id="37" min="1" max="16383" man="1"/>
  </rowBreaks>
  <extLst>
    <ext xmlns:x14="http://schemas.microsoft.com/office/spreadsheetml/2009/9/main" uri="{78C0D931-6437-407d-A8EE-F0AAD7539E65}">
      <x14:conditionalFormattings>
        <x14:conditionalFormatting xmlns:xm="http://schemas.microsoft.com/office/excel/2006/main">
          <x14:cfRule type="expression" priority="11">
            <xm:f>E47&lt;'Technicke hodnoceni'!D37</xm:f>
            <x14:dxf>
              <fill>
                <patternFill>
                  <bgColor rgb="FFFF0000"/>
                </patternFill>
              </fill>
            </x14:dxf>
          </x14:cfRule>
          <xm:sqref>E47:N47</xm:sqref>
        </x14:conditionalFormatting>
        <x14:conditionalFormatting xmlns:xm="http://schemas.microsoft.com/office/excel/2006/main">
          <x14:cfRule type="expression" priority="104">
            <xm:f>$J$36&gt;'NASTAVENI ZADAVATELE'!$H$13</xm:f>
            <x14:dxf>
              <fill>
                <patternFill>
                  <bgColor rgb="FFFF0000"/>
                </patternFill>
              </fill>
            </x14:dxf>
          </x14:cfRule>
          <xm:sqref>J11:J36</xm:sqref>
        </x14:conditionalFormatting>
        <x14:conditionalFormatting xmlns:xm="http://schemas.microsoft.com/office/excel/2006/main">
          <x14:cfRule type="expression" priority="106">
            <xm:f>$K$36&gt;'NASTAVENI ZADAVATELE'!$H$14</xm:f>
            <x14:dxf>
              <fill>
                <patternFill>
                  <bgColor rgb="FFFF0000"/>
                </patternFill>
              </fill>
            </x14:dxf>
          </x14:cfRule>
          <xm:sqref>K11 K13 K26:K27 K32 K35:K36</xm:sqref>
        </x14:conditionalFormatting>
        <x14:conditionalFormatting xmlns:xm="http://schemas.microsoft.com/office/excel/2006/main">
          <x14:cfRule type="expression" priority="108">
            <xm:f>$L$36&gt;'NASTAVENI ZADAVATELE'!$H$15</xm:f>
            <x14:dxf>
              <fill>
                <patternFill>
                  <bgColor rgb="FFFF0000"/>
                </patternFill>
              </fill>
            </x14:dxf>
          </x14:cfRule>
          <xm:sqref>L11:L36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1"/>
  <sheetViews>
    <sheetView showGridLines="0" zoomScaleSheetLayoutView="100" workbookViewId="0" topLeftCell="A1">
      <selection activeCell="D19" sqref="D19"/>
    </sheetView>
  </sheetViews>
  <sheetFormatPr defaultColWidth="12.7109375" defaultRowHeight="12.75" zeroHeight="1"/>
  <cols>
    <col min="1" max="1" width="4.7109375" style="0" customWidth="1"/>
    <col min="2" max="2" width="36.7109375" style="0" customWidth="1"/>
    <col min="3" max="3" width="14.7109375" style="0" customWidth="1"/>
    <col min="4" max="13" width="7.7109375" style="0" customWidth="1"/>
    <col min="14" max="14" width="4.7109375" style="0" customWidth="1"/>
    <col min="15" max="18" width="12.7109375" style="0" hidden="1" customWidth="1"/>
    <col min="19" max="16383" width="9.140625" style="0" hidden="1" customWidth="1"/>
    <col min="16384" max="16384" width="9.140625" style="0" hidden="1" customWidth="1"/>
  </cols>
  <sheetData>
    <row r="1" ht="12.75"/>
    <row r="2" spans="2:13" ht="12.75">
      <c r="B2" s="4" t="s">
        <v>229</v>
      </c>
      <c r="C2" s="4"/>
      <c r="H2" s="227" t="s">
        <v>135</v>
      </c>
      <c r="I2" s="345"/>
      <c r="J2" s="345"/>
      <c r="K2" s="345"/>
      <c r="L2" s="345"/>
      <c r="M2" s="345"/>
    </row>
    <row r="3" ht="12.75">
      <c r="B3" t="s">
        <v>115</v>
      </c>
    </row>
    <row r="4" spans="2:13" ht="13.5" thickBot="1">
      <c r="B4" s="98"/>
      <c r="J4" s="9"/>
      <c r="K4" s="9"/>
      <c r="L4" s="9"/>
      <c r="M4" s="9"/>
    </row>
    <row r="5" spans="2:13" ht="26.25" customHeight="1" thickBot="1">
      <c r="B5" s="5" t="s">
        <v>7</v>
      </c>
      <c r="C5" s="111" t="s">
        <v>265</v>
      </c>
      <c r="D5" s="711" t="s">
        <v>4</v>
      </c>
      <c r="E5" s="701"/>
      <c r="F5" s="701" t="s">
        <v>95</v>
      </c>
      <c r="G5" s="701"/>
      <c r="H5" s="701" t="s">
        <v>5</v>
      </c>
      <c r="I5" s="701"/>
      <c r="J5" s="713" t="s">
        <v>3</v>
      </c>
      <c r="K5" s="713"/>
      <c r="L5" s="701" t="s">
        <v>6</v>
      </c>
      <c r="M5" s="702"/>
    </row>
    <row r="6" spans="2:13" ht="26.25" customHeight="1" thickTop="1">
      <c r="B6" s="6" t="s">
        <v>111</v>
      </c>
      <c r="C6" s="106" t="s">
        <v>108</v>
      </c>
      <c r="D6" s="716">
        <f>AVERAGE(D21:M21)</f>
        <v>1</v>
      </c>
      <c r="E6" s="717"/>
      <c r="F6" s="717">
        <v>1</v>
      </c>
      <c r="G6" s="717"/>
      <c r="H6" s="705">
        <f>D6/F6*100</f>
        <v>100</v>
      </c>
      <c r="I6" s="705"/>
      <c r="J6" s="720">
        <f>'NASTAVENI ZADAVATELE'!E80</f>
        <v>0.5</v>
      </c>
      <c r="K6" s="720"/>
      <c r="L6" s="705">
        <f>H6*J6</f>
        <v>50</v>
      </c>
      <c r="M6" s="706"/>
    </row>
    <row r="7" spans="2:13" ht="26.25" customHeight="1">
      <c r="B7" s="6" t="s">
        <v>112</v>
      </c>
      <c r="C7" s="106" t="s">
        <v>2</v>
      </c>
      <c r="D7" s="718">
        <f>AVERAGE(D23:M23)</f>
        <v>1</v>
      </c>
      <c r="E7" s="712"/>
      <c r="F7" s="712">
        <v>1</v>
      </c>
      <c r="G7" s="712"/>
      <c r="H7" s="707">
        <f aca="true" t="shared" si="0" ref="H7:H8">D7/F7*100</f>
        <v>100</v>
      </c>
      <c r="I7" s="707"/>
      <c r="J7" s="721">
        <f>'NASTAVENI ZADAVATELE'!E81</f>
        <v>0.2</v>
      </c>
      <c r="K7" s="721"/>
      <c r="L7" s="707">
        <f>H7*J7</f>
        <v>20</v>
      </c>
      <c r="M7" s="708"/>
    </row>
    <row r="8" spans="2:13" ht="26.25" customHeight="1" thickBot="1">
      <c r="B8" s="7" t="s">
        <v>113</v>
      </c>
      <c r="C8" s="107" t="s">
        <v>2</v>
      </c>
      <c r="D8" s="719">
        <f>AVERAGE(D25:M25)</f>
        <v>1</v>
      </c>
      <c r="E8" s="714"/>
      <c r="F8" s="714">
        <v>1</v>
      </c>
      <c r="G8" s="714"/>
      <c r="H8" s="709">
        <f t="shared" si="0"/>
        <v>100</v>
      </c>
      <c r="I8" s="709"/>
      <c r="J8" s="715">
        <f>'NASTAVENI ZADAVATELE'!E82</f>
        <v>0.3</v>
      </c>
      <c r="K8" s="715"/>
      <c r="L8" s="709">
        <f>H8*J8</f>
        <v>30</v>
      </c>
      <c r="M8" s="710"/>
    </row>
    <row r="9" ht="12.75" customHeight="1" thickBot="1"/>
    <row r="10" spans="2:13" ht="26.25" customHeight="1" thickBot="1">
      <c r="B10" s="130" t="s">
        <v>267</v>
      </c>
      <c r="C10" s="131"/>
      <c r="D10" s="131"/>
      <c r="E10" s="131"/>
      <c r="F10" s="131"/>
      <c r="G10" s="131"/>
      <c r="H10" s="131"/>
      <c r="I10" s="131"/>
      <c r="J10" s="131"/>
      <c r="K10" s="132"/>
      <c r="L10" s="703">
        <f>SUM(L6:M8)</f>
        <v>100</v>
      </c>
      <c r="M10" s="704"/>
    </row>
    <row r="11" ht="12.75">
      <c r="B11" s="4"/>
    </row>
    <row r="12" ht="12.75">
      <c r="B12" s="4"/>
    </row>
    <row r="13" ht="12.75">
      <c r="B13" s="4" t="s">
        <v>98</v>
      </c>
    </row>
    <row r="14" ht="12.75">
      <c r="B14" s="98" t="s">
        <v>97</v>
      </c>
    </row>
    <row r="15" ht="13.5" thickBot="1"/>
    <row r="16" spans="2:13" ht="12.75">
      <c r="B16" s="670" t="s">
        <v>7</v>
      </c>
      <c r="C16" s="680" t="s">
        <v>269</v>
      </c>
      <c r="D16" s="690" t="s">
        <v>101</v>
      </c>
      <c r="E16" s="691"/>
      <c r="F16" s="691"/>
      <c r="G16" s="691"/>
      <c r="H16" s="691"/>
      <c r="I16" s="691"/>
      <c r="J16" s="691"/>
      <c r="K16" s="691"/>
      <c r="L16" s="691"/>
      <c r="M16" s="692"/>
    </row>
    <row r="17" spans="2:13" ht="13.5" thickBot="1">
      <c r="B17" s="672"/>
      <c r="C17" s="681"/>
      <c r="D17" s="108">
        <f>VR</f>
        <v>1</v>
      </c>
      <c r="E17" s="109">
        <f>D17+1</f>
        <v>2</v>
      </c>
      <c r="F17" s="109">
        <f aca="true" t="shared" si="1" ref="F17">E17+1</f>
        <v>3</v>
      </c>
      <c r="G17" s="109">
        <f aca="true" t="shared" si="2" ref="G17">F17+1</f>
        <v>4</v>
      </c>
      <c r="H17" s="109">
        <f aca="true" t="shared" si="3" ref="H17">G17+1</f>
        <v>5</v>
      </c>
      <c r="I17" s="109">
        <f aca="true" t="shared" si="4" ref="I17">H17+1</f>
        <v>6</v>
      </c>
      <c r="J17" s="109">
        <f aca="true" t="shared" si="5" ref="J17">I17+1</f>
        <v>7</v>
      </c>
      <c r="K17" s="109">
        <f aca="true" t="shared" si="6" ref="K17">J17+1</f>
        <v>8</v>
      </c>
      <c r="L17" s="109">
        <f aca="true" t="shared" si="7" ref="L17">K17+1</f>
        <v>9</v>
      </c>
      <c r="M17" s="110">
        <f aca="true" t="shared" si="8" ref="M17">L17+1</f>
        <v>10</v>
      </c>
    </row>
    <row r="18" spans="2:13" ht="13.5" thickTop="1">
      <c r="B18" s="726" t="s">
        <v>114</v>
      </c>
      <c r="C18" s="112" t="s">
        <v>122</v>
      </c>
      <c r="D18" s="370">
        <f>1-D19</f>
        <v>0.487179487179487</v>
      </c>
      <c r="E18" s="371">
        <f aca="true" t="shared" si="9" ref="E18:M18">1-E19</f>
        <v>0.487179487179487</v>
      </c>
      <c r="F18" s="371">
        <f t="shared" si="9"/>
        <v>0.487179487179487</v>
      </c>
      <c r="G18" s="371">
        <f t="shared" si="9"/>
        <v>0.487179487179487</v>
      </c>
      <c r="H18" s="371">
        <f t="shared" si="9"/>
        <v>0.487179487179487</v>
      </c>
      <c r="I18" s="371">
        <f t="shared" si="9"/>
        <v>0.487179487179487</v>
      </c>
      <c r="J18" s="371">
        <f t="shared" si="9"/>
        <v>0.487179487179487</v>
      </c>
      <c r="K18" s="371">
        <f t="shared" si="9"/>
        <v>0.487179487179487</v>
      </c>
      <c r="L18" s="371">
        <f t="shared" si="9"/>
        <v>0.487179487179487</v>
      </c>
      <c r="M18" s="372">
        <f t="shared" si="9"/>
        <v>0.487179487179487</v>
      </c>
    </row>
    <row r="19" spans="2:13" ht="12.75">
      <c r="B19" s="727"/>
      <c r="C19" s="113" t="s">
        <v>121</v>
      </c>
      <c r="D19" s="373">
        <f>'NABIDKA DOPRAVCE'!E44</f>
        <v>0.512820512820513</v>
      </c>
      <c r="E19" s="374">
        <f>'NABIDKA DOPRAVCE'!F44</f>
        <v>0.512820512820513</v>
      </c>
      <c r="F19" s="374">
        <f>'NABIDKA DOPRAVCE'!G44</f>
        <v>0.512820512820513</v>
      </c>
      <c r="G19" s="374">
        <f>'NABIDKA DOPRAVCE'!H44</f>
        <v>0.512820512820513</v>
      </c>
      <c r="H19" s="374">
        <f>'NABIDKA DOPRAVCE'!I44</f>
        <v>0.512820512820513</v>
      </c>
      <c r="I19" s="374">
        <f>'NABIDKA DOPRAVCE'!J44</f>
        <v>0.512820512820513</v>
      </c>
      <c r="J19" s="374">
        <f>'NABIDKA DOPRAVCE'!K44</f>
        <v>0.512820512820513</v>
      </c>
      <c r="K19" s="374">
        <f>'NABIDKA DOPRAVCE'!L44</f>
        <v>0.512820512820513</v>
      </c>
      <c r="L19" s="374">
        <f>'NABIDKA DOPRAVCE'!M44</f>
        <v>0.512820512820513</v>
      </c>
      <c r="M19" s="375">
        <f>'NABIDKA DOPRAVCE'!N44</f>
        <v>0.512820512820513</v>
      </c>
    </row>
    <row r="20" spans="2:13" ht="12.75">
      <c r="B20" s="728" t="s">
        <v>111</v>
      </c>
      <c r="C20" s="1" t="s">
        <v>0</v>
      </c>
      <c r="D20" s="376">
        <f>1-SUM(D21:D22)</f>
        <v>0</v>
      </c>
      <c r="E20" s="371">
        <f aca="true" t="shared" si="10" ref="E20:M20">1-SUM(E21:E22)</f>
        <v>0</v>
      </c>
      <c r="F20" s="371">
        <f t="shared" si="10"/>
        <v>0</v>
      </c>
      <c r="G20" s="371">
        <f t="shared" si="10"/>
        <v>0</v>
      </c>
      <c r="H20" s="371">
        <f t="shared" si="10"/>
        <v>0</v>
      </c>
      <c r="I20" s="371">
        <f t="shared" si="10"/>
        <v>0</v>
      </c>
      <c r="J20" s="371">
        <f t="shared" si="10"/>
        <v>0</v>
      </c>
      <c r="K20" s="371">
        <f t="shared" si="10"/>
        <v>0</v>
      </c>
      <c r="L20" s="371">
        <f t="shared" si="10"/>
        <v>0</v>
      </c>
      <c r="M20" s="372">
        <f t="shared" si="10"/>
        <v>0</v>
      </c>
    </row>
    <row r="21" spans="2:13" ht="12.75">
      <c r="B21" s="726"/>
      <c r="C21" s="114" t="s">
        <v>108</v>
      </c>
      <c r="D21" s="377">
        <f>'NABIDKA DOPRAVCE'!E46</f>
        <v>1</v>
      </c>
      <c r="E21" s="374">
        <f>'NABIDKA DOPRAVCE'!F46</f>
        <v>1</v>
      </c>
      <c r="F21" s="374">
        <f>'NABIDKA DOPRAVCE'!G46</f>
        <v>1</v>
      </c>
      <c r="G21" s="374">
        <f>'NABIDKA DOPRAVCE'!H46</f>
        <v>1</v>
      </c>
      <c r="H21" s="374">
        <f>'NABIDKA DOPRAVCE'!I46</f>
        <v>1</v>
      </c>
      <c r="I21" s="374">
        <f>'NABIDKA DOPRAVCE'!J46</f>
        <v>1</v>
      </c>
      <c r="J21" s="374">
        <f>'NABIDKA DOPRAVCE'!K46</f>
        <v>1</v>
      </c>
      <c r="K21" s="374">
        <f>'NABIDKA DOPRAVCE'!L46</f>
        <v>1</v>
      </c>
      <c r="L21" s="374">
        <f>'NABIDKA DOPRAVCE'!M46</f>
        <v>1</v>
      </c>
      <c r="M21" s="375">
        <f>'NABIDKA DOPRAVCE'!N46</f>
        <v>1</v>
      </c>
    </row>
    <row r="22" spans="2:13" ht="12.75">
      <c r="B22" s="727"/>
      <c r="C22" s="114" t="s">
        <v>259</v>
      </c>
      <c r="D22" s="377">
        <f>'NABIDKA DOPRAVCE'!E47</f>
        <v>0</v>
      </c>
      <c r="E22" s="374">
        <f>'NABIDKA DOPRAVCE'!F47</f>
        <v>0</v>
      </c>
      <c r="F22" s="374">
        <f>'NABIDKA DOPRAVCE'!G47</f>
        <v>0</v>
      </c>
      <c r="G22" s="374">
        <f>'NABIDKA DOPRAVCE'!H47</f>
        <v>0</v>
      </c>
      <c r="H22" s="374">
        <f>'NABIDKA DOPRAVCE'!I47</f>
        <v>0</v>
      </c>
      <c r="I22" s="374">
        <f>'NABIDKA DOPRAVCE'!J47</f>
        <v>0</v>
      </c>
      <c r="J22" s="374">
        <f>'NABIDKA DOPRAVCE'!K47</f>
        <v>0</v>
      </c>
      <c r="K22" s="374">
        <f>'NABIDKA DOPRAVCE'!L47</f>
        <v>0</v>
      </c>
      <c r="L22" s="374">
        <f>'NABIDKA DOPRAVCE'!M47</f>
        <v>0</v>
      </c>
      <c r="M22" s="375">
        <f>'NABIDKA DOPRAVCE'!N47</f>
        <v>0</v>
      </c>
    </row>
    <row r="23" spans="2:13" ht="12.75">
      <c r="B23" s="722" t="s">
        <v>112</v>
      </c>
      <c r="C23" s="1" t="s">
        <v>2</v>
      </c>
      <c r="D23" s="246">
        <f>'NABIDKA DOPRAVCE'!E48</f>
        <v>1</v>
      </c>
      <c r="E23" s="244">
        <f>'NABIDKA DOPRAVCE'!F48</f>
        <v>1</v>
      </c>
      <c r="F23" s="244">
        <f>'NABIDKA DOPRAVCE'!G48</f>
        <v>1</v>
      </c>
      <c r="G23" s="244">
        <f>'NABIDKA DOPRAVCE'!H48</f>
        <v>1</v>
      </c>
      <c r="H23" s="244">
        <f>'NABIDKA DOPRAVCE'!I48</f>
        <v>1</v>
      </c>
      <c r="I23" s="244">
        <f>'NABIDKA DOPRAVCE'!J48</f>
        <v>1</v>
      </c>
      <c r="J23" s="244">
        <f>'NABIDKA DOPRAVCE'!K48</f>
        <v>1</v>
      </c>
      <c r="K23" s="244">
        <f>'NABIDKA DOPRAVCE'!L48</f>
        <v>1</v>
      </c>
      <c r="L23" s="244">
        <f>'NABIDKA DOPRAVCE'!M48</f>
        <v>1</v>
      </c>
      <c r="M23" s="245">
        <f>'NABIDKA DOPRAVCE'!N48</f>
        <v>1</v>
      </c>
    </row>
    <row r="24" spans="2:13" ht="12.75">
      <c r="B24" s="723"/>
      <c r="C24" s="2" t="s">
        <v>1</v>
      </c>
      <c r="D24" s="378">
        <f>1-D23</f>
        <v>0</v>
      </c>
      <c r="E24" s="379">
        <f aca="true" t="shared" si="11" ref="E24:M24">1-E23</f>
        <v>0</v>
      </c>
      <c r="F24" s="379">
        <f t="shared" si="11"/>
        <v>0</v>
      </c>
      <c r="G24" s="379">
        <f t="shared" si="11"/>
        <v>0</v>
      </c>
      <c r="H24" s="379">
        <f t="shared" si="11"/>
        <v>0</v>
      </c>
      <c r="I24" s="379">
        <f t="shared" si="11"/>
        <v>0</v>
      </c>
      <c r="J24" s="379">
        <f t="shared" si="11"/>
        <v>0</v>
      </c>
      <c r="K24" s="379">
        <f t="shared" si="11"/>
        <v>0</v>
      </c>
      <c r="L24" s="379">
        <f t="shared" si="11"/>
        <v>0</v>
      </c>
      <c r="M24" s="380">
        <f t="shared" si="11"/>
        <v>0</v>
      </c>
    </row>
    <row r="25" spans="2:13" ht="12.75">
      <c r="B25" s="724" t="s">
        <v>113</v>
      </c>
      <c r="C25" s="104" t="s">
        <v>2</v>
      </c>
      <c r="D25" s="381">
        <f>'NABIDKA DOPRAVCE'!E50</f>
        <v>1</v>
      </c>
      <c r="E25" s="382">
        <f>'NABIDKA DOPRAVCE'!F50</f>
        <v>1</v>
      </c>
      <c r="F25" s="382">
        <f>'NABIDKA DOPRAVCE'!G50</f>
        <v>1</v>
      </c>
      <c r="G25" s="382">
        <f>'NABIDKA DOPRAVCE'!H50</f>
        <v>1</v>
      </c>
      <c r="H25" s="382">
        <f>'NABIDKA DOPRAVCE'!I50</f>
        <v>1</v>
      </c>
      <c r="I25" s="382">
        <f>'NABIDKA DOPRAVCE'!J50</f>
        <v>1</v>
      </c>
      <c r="J25" s="382">
        <f>'NABIDKA DOPRAVCE'!K50</f>
        <v>1</v>
      </c>
      <c r="K25" s="382">
        <f>'NABIDKA DOPRAVCE'!L50</f>
        <v>1</v>
      </c>
      <c r="L25" s="382">
        <f>'NABIDKA DOPRAVCE'!M50</f>
        <v>1</v>
      </c>
      <c r="M25" s="383">
        <f>'NABIDKA DOPRAVCE'!N50</f>
        <v>1</v>
      </c>
    </row>
    <row r="26" spans="2:13" ht="13.5" thickBot="1">
      <c r="B26" s="725"/>
      <c r="C26" s="3" t="s">
        <v>1</v>
      </c>
      <c r="D26" s="384">
        <f>1-D25</f>
        <v>0</v>
      </c>
      <c r="E26" s="385">
        <f aca="true" t="shared" si="12" ref="E26">1-E25</f>
        <v>0</v>
      </c>
      <c r="F26" s="385">
        <f aca="true" t="shared" si="13" ref="F26">1-F25</f>
        <v>0</v>
      </c>
      <c r="G26" s="385">
        <f aca="true" t="shared" si="14" ref="G26">1-G25</f>
        <v>0</v>
      </c>
      <c r="H26" s="385">
        <f aca="true" t="shared" si="15" ref="H26">1-H25</f>
        <v>0</v>
      </c>
      <c r="I26" s="385">
        <f aca="true" t="shared" si="16" ref="I26">1-I25</f>
        <v>0</v>
      </c>
      <c r="J26" s="385">
        <f aca="true" t="shared" si="17" ref="J26">1-J25</f>
        <v>0</v>
      </c>
      <c r="K26" s="385">
        <f aca="true" t="shared" si="18" ref="K26">1-K25</f>
        <v>0</v>
      </c>
      <c r="L26" s="385">
        <f aca="true" t="shared" si="19" ref="L26">1-L25</f>
        <v>0</v>
      </c>
      <c r="M26" s="386">
        <f aca="true" t="shared" si="20" ref="M26">1-M25</f>
        <v>0</v>
      </c>
    </row>
    <row r="27" ht="12.75"/>
    <row r="28" ht="12.75">
      <c r="B28" s="4" t="s">
        <v>99</v>
      </c>
    </row>
    <row r="29" ht="12.75">
      <c r="B29" s="98" t="s">
        <v>100</v>
      </c>
    </row>
    <row r="30" ht="13.5" thickBot="1"/>
    <row r="31" spans="2:13" ht="12.75">
      <c r="B31" s="670" t="s">
        <v>7</v>
      </c>
      <c r="C31" s="680" t="s">
        <v>269</v>
      </c>
      <c r="D31" s="690" t="s">
        <v>101</v>
      </c>
      <c r="E31" s="691"/>
      <c r="F31" s="691"/>
      <c r="G31" s="691"/>
      <c r="H31" s="691"/>
      <c r="I31" s="691"/>
      <c r="J31" s="691"/>
      <c r="K31" s="691"/>
      <c r="L31" s="691"/>
      <c r="M31" s="692"/>
    </row>
    <row r="32" spans="2:13" ht="13.5" thickBot="1">
      <c r="B32" s="672"/>
      <c r="C32" s="681"/>
      <c r="D32" s="108">
        <f>VR</f>
        <v>1</v>
      </c>
      <c r="E32" s="109">
        <f>D32+1</f>
        <v>2</v>
      </c>
      <c r="F32" s="109">
        <f aca="true" t="shared" si="21" ref="F32">E32+1</f>
        <v>3</v>
      </c>
      <c r="G32" s="109">
        <f aca="true" t="shared" si="22" ref="G32">F32+1</f>
        <v>4</v>
      </c>
      <c r="H32" s="109">
        <f aca="true" t="shared" si="23" ref="H32">G32+1</f>
        <v>5</v>
      </c>
      <c r="I32" s="109">
        <f aca="true" t="shared" si="24" ref="I32">H32+1</f>
        <v>6</v>
      </c>
      <c r="J32" s="109">
        <f aca="true" t="shared" si="25" ref="J32">I32+1</f>
        <v>7</v>
      </c>
      <c r="K32" s="109">
        <f aca="true" t="shared" si="26" ref="K32">J32+1</f>
        <v>8</v>
      </c>
      <c r="L32" s="109">
        <f aca="true" t="shared" si="27" ref="L32">K32+1</f>
        <v>9</v>
      </c>
      <c r="M32" s="110">
        <f aca="true" t="shared" si="28" ref="M32">L32+1</f>
        <v>10</v>
      </c>
    </row>
    <row r="33" spans="2:13" ht="13.5" thickTop="1">
      <c r="B33" s="726" t="s">
        <v>114</v>
      </c>
      <c r="C33" s="112" t="s">
        <v>122</v>
      </c>
      <c r="D33" s="311">
        <f>'NASTAVENI ZADAVATELE'!E66</f>
        <v>0</v>
      </c>
      <c r="E33" s="312">
        <f>'NASTAVENI ZADAVATELE'!F66</f>
        <v>0</v>
      </c>
      <c r="F33" s="312">
        <f>'NASTAVENI ZADAVATELE'!G66</f>
        <v>0</v>
      </c>
      <c r="G33" s="312">
        <f>'NASTAVENI ZADAVATELE'!H66</f>
        <v>0</v>
      </c>
      <c r="H33" s="312">
        <f>'NASTAVENI ZADAVATELE'!I66</f>
        <v>0</v>
      </c>
      <c r="I33" s="312">
        <f>'NASTAVENI ZADAVATELE'!J66</f>
        <v>0</v>
      </c>
      <c r="J33" s="312">
        <f>'NASTAVENI ZADAVATELE'!K66</f>
        <v>0</v>
      </c>
      <c r="K33" s="312">
        <f>'NASTAVENI ZADAVATELE'!L66</f>
        <v>0</v>
      </c>
      <c r="L33" s="312">
        <f>'NASTAVENI ZADAVATELE'!M66</f>
        <v>0</v>
      </c>
      <c r="M33" s="313">
        <f>'NASTAVENI ZADAVATELE'!N66</f>
        <v>0</v>
      </c>
    </row>
    <row r="34" spans="2:13" ht="12.75">
      <c r="B34" s="727"/>
      <c r="C34" s="113" t="s">
        <v>121</v>
      </c>
      <c r="D34" s="314">
        <f>'NASTAVENI ZADAVATELE'!E67</f>
        <v>0.5</v>
      </c>
      <c r="E34" s="315">
        <f>'NASTAVENI ZADAVATELE'!F67</f>
        <v>0.5</v>
      </c>
      <c r="F34" s="315">
        <f>'NASTAVENI ZADAVATELE'!G67</f>
        <v>0.5</v>
      </c>
      <c r="G34" s="315">
        <f>'NASTAVENI ZADAVATELE'!H67</f>
        <v>0.5</v>
      </c>
      <c r="H34" s="315">
        <f>'NASTAVENI ZADAVATELE'!I67</f>
        <v>0.5</v>
      </c>
      <c r="I34" s="315">
        <f>'NASTAVENI ZADAVATELE'!J67</f>
        <v>0.5</v>
      </c>
      <c r="J34" s="315">
        <f>'NASTAVENI ZADAVATELE'!K67</f>
        <v>0.5</v>
      </c>
      <c r="K34" s="315">
        <f>'NASTAVENI ZADAVATELE'!L67</f>
        <v>0.5</v>
      </c>
      <c r="L34" s="315">
        <f>'NASTAVENI ZADAVATELE'!M67</f>
        <v>0.5</v>
      </c>
      <c r="M34" s="316">
        <f>'NASTAVENI ZADAVATELE'!N67</f>
        <v>0.5</v>
      </c>
    </row>
    <row r="35" spans="2:13" ht="12.75">
      <c r="B35" s="728" t="s">
        <v>111</v>
      </c>
      <c r="C35" s="1" t="s">
        <v>0</v>
      </c>
      <c r="D35" s="317">
        <f>'NASTAVENI ZADAVATELE'!E68</f>
        <v>0</v>
      </c>
      <c r="E35" s="312">
        <f>'NASTAVENI ZADAVATELE'!F68</f>
        <v>0</v>
      </c>
      <c r="F35" s="312">
        <f>'NASTAVENI ZADAVATELE'!G68</f>
        <v>0</v>
      </c>
      <c r="G35" s="312">
        <f>'NASTAVENI ZADAVATELE'!H68</f>
        <v>0</v>
      </c>
      <c r="H35" s="312">
        <f>'NASTAVENI ZADAVATELE'!I68</f>
        <v>0</v>
      </c>
      <c r="I35" s="312">
        <f>'NASTAVENI ZADAVATELE'!J68</f>
        <v>0</v>
      </c>
      <c r="J35" s="312">
        <f>'NASTAVENI ZADAVATELE'!K68</f>
        <v>0</v>
      </c>
      <c r="K35" s="312">
        <f>'NASTAVENI ZADAVATELE'!L68</f>
        <v>0</v>
      </c>
      <c r="L35" s="312">
        <f>'NASTAVENI ZADAVATELE'!M68</f>
        <v>0</v>
      </c>
      <c r="M35" s="313">
        <f>'NASTAVENI ZADAVATELE'!N68</f>
        <v>0</v>
      </c>
    </row>
    <row r="36" spans="2:13" ht="12.75">
      <c r="B36" s="726"/>
      <c r="C36" s="114" t="s">
        <v>108</v>
      </c>
      <c r="D36" s="318">
        <f>'NASTAVENI ZADAVATELE'!E69</f>
        <v>0.2</v>
      </c>
      <c r="E36" s="319">
        <f>'NASTAVENI ZADAVATELE'!F69</f>
        <v>0.2</v>
      </c>
      <c r="F36" s="319">
        <f>'NASTAVENI ZADAVATELE'!G69</f>
        <v>0.2</v>
      </c>
      <c r="G36" s="319">
        <f>'NASTAVENI ZADAVATELE'!H69</f>
        <v>0.2</v>
      </c>
      <c r="H36" s="319">
        <f>'NASTAVENI ZADAVATELE'!I69</f>
        <v>0.2</v>
      </c>
      <c r="I36" s="319">
        <f>'NASTAVENI ZADAVATELE'!J69</f>
        <v>0.2</v>
      </c>
      <c r="J36" s="319">
        <f>'NASTAVENI ZADAVATELE'!K69</f>
        <v>0.2</v>
      </c>
      <c r="K36" s="319">
        <f>'NASTAVENI ZADAVATELE'!L69</f>
        <v>0.2</v>
      </c>
      <c r="L36" s="319">
        <f>'NASTAVENI ZADAVATELE'!M69</f>
        <v>0.2</v>
      </c>
      <c r="M36" s="320">
        <f>'NASTAVENI ZADAVATELE'!N69</f>
        <v>0.2</v>
      </c>
    </row>
    <row r="37" spans="2:13" ht="12.75">
      <c r="B37" s="727"/>
      <c r="C37" s="114" t="s">
        <v>259</v>
      </c>
      <c r="D37" s="318">
        <f>'NASTAVENI ZADAVATELE'!E70</f>
        <v>0</v>
      </c>
      <c r="E37" s="319">
        <f>'NASTAVENI ZADAVATELE'!F70</f>
        <v>0</v>
      </c>
      <c r="F37" s="319">
        <f>'NASTAVENI ZADAVATELE'!G70</f>
        <v>0</v>
      </c>
      <c r="G37" s="319">
        <f>'NASTAVENI ZADAVATELE'!H70</f>
        <v>0</v>
      </c>
      <c r="H37" s="319">
        <f>'NASTAVENI ZADAVATELE'!I70</f>
        <v>0</v>
      </c>
      <c r="I37" s="319">
        <f>'NASTAVENI ZADAVATELE'!J70</f>
        <v>0</v>
      </c>
      <c r="J37" s="319">
        <f>'NASTAVENI ZADAVATELE'!K70</f>
        <v>0</v>
      </c>
      <c r="K37" s="319">
        <f>'NASTAVENI ZADAVATELE'!L70</f>
        <v>0</v>
      </c>
      <c r="L37" s="319">
        <f>'NASTAVENI ZADAVATELE'!M70</f>
        <v>0</v>
      </c>
      <c r="M37" s="320">
        <f>'NASTAVENI ZADAVATELE'!N70</f>
        <v>0</v>
      </c>
    </row>
    <row r="38" spans="2:13" ht="12.75">
      <c r="B38" s="722" t="s">
        <v>112</v>
      </c>
      <c r="C38" s="1" t="s">
        <v>2</v>
      </c>
      <c r="D38" s="317">
        <f>'NASTAVENI ZADAVATELE'!E71</f>
        <v>0.2</v>
      </c>
      <c r="E38" s="312">
        <f>'NASTAVENI ZADAVATELE'!F71</f>
        <v>0.2</v>
      </c>
      <c r="F38" s="312">
        <f>'NASTAVENI ZADAVATELE'!G71</f>
        <v>0.2</v>
      </c>
      <c r="G38" s="312">
        <f>'NASTAVENI ZADAVATELE'!H71</f>
        <v>0.2</v>
      </c>
      <c r="H38" s="312">
        <f>'NASTAVENI ZADAVATELE'!I71</f>
        <v>0.2</v>
      </c>
      <c r="I38" s="312">
        <f>'NASTAVENI ZADAVATELE'!J71</f>
        <v>0.2</v>
      </c>
      <c r="J38" s="312">
        <f>'NASTAVENI ZADAVATELE'!K71</f>
        <v>0.2</v>
      </c>
      <c r="K38" s="312">
        <f>'NASTAVENI ZADAVATELE'!L71</f>
        <v>0.2</v>
      </c>
      <c r="L38" s="312">
        <f>'NASTAVENI ZADAVATELE'!M71</f>
        <v>0.2</v>
      </c>
      <c r="M38" s="313">
        <f>'NASTAVENI ZADAVATELE'!N71</f>
        <v>0.2</v>
      </c>
    </row>
    <row r="39" spans="2:13" ht="12.75">
      <c r="B39" s="723"/>
      <c r="C39" s="2" t="s">
        <v>1</v>
      </c>
      <c r="D39" s="321">
        <f>'NASTAVENI ZADAVATELE'!E72</f>
        <v>0</v>
      </c>
      <c r="E39" s="315">
        <f>'NASTAVENI ZADAVATELE'!F72</f>
        <v>0</v>
      </c>
      <c r="F39" s="315">
        <f>'NASTAVENI ZADAVATELE'!G72</f>
        <v>0</v>
      </c>
      <c r="G39" s="315">
        <f>'NASTAVENI ZADAVATELE'!H72</f>
        <v>0</v>
      </c>
      <c r="H39" s="315">
        <f>'NASTAVENI ZADAVATELE'!I72</f>
        <v>0</v>
      </c>
      <c r="I39" s="315">
        <f>'NASTAVENI ZADAVATELE'!J72</f>
        <v>0</v>
      </c>
      <c r="J39" s="315">
        <f>'NASTAVENI ZADAVATELE'!K72</f>
        <v>0</v>
      </c>
      <c r="K39" s="315">
        <f>'NASTAVENI ZADAVATELE'!L72</f>
        <v>0</v>
      </c>
      <c r="L39" s="315">
        <f>'NASTAVENI ZADAVATELE'!M72</f>
        <v>0</v>
      </c>
      <c r="M39" s="316">
        <f>'NASTAVENI ZADAVATELE'!N72</f>
        <v>0</v>
      </c>
    </row>
    <row r="40" spans="2:13" ht="12.75">
      <c r="B40" s="724" t="s">
        <v>113</v>
      </c>
      <c r="C40" s="104" t="s">
        <v>2</v>
      </c>
      <c r="D40" s="322">
        <f>'NASTAVENI ZADAVATELE'!E73</f>
        <v>0.25</v>
      </c>
      <c r="E40" s="323">
        <f>'NASTAVENI ZADAVATELE'!F73</f>
        <v>0.25</v>
      </c>
      <c r="F40" s="323">
        <f>'NASTAVENI ZADAVATELE'!G73</f>
        <v>0.25</v>
      </c>
      <c r="G40" s="323">
        <f>'NASTAVENI ZADAVATELE'!H73</f>
        <v>0.8</v>
      </c>
      <c r="H40" s="323">
        <f>'NASTAVENI ZADAVATELE'!I73</f>
        <v>0.8</v>
      </c>
      <c r="I40" s="323">
        <f>'NASTAVENI ZADAVATELE'!J73</f>
        <v>0.8</v>
      </c>
      <c r="J40" s="323">
        <f>'NASTAVENI ZADAVATELE'!K73</f>
        <v>0.8</v>
      </c>
      <c r="K40" s="323">
        <f>'NASTAVENI ZADAVATELE'!L73</f>
        <v>0.8</v>
      </c>
      <c r="L40" s="323">
        <f>'NASTAVENI ZADAVATELE'!M73</f>
        <v>0.8</v>
      </c>
      <c r="M40" s="324">
        <f>'NASTAVENI ZADAVATELE'!N73</f>
        <v>0.8</v>
      </c>
    </row>
    <row r="41" spans="2:13" ht="13.5" thickBot="1">
      <c r="B41" s="725"/>
      <c r="C41" s="3" t="s">
        <v>1</v>
      </c>
      <c r="D41" s="325">
        <f>'NASTAVENI ZADAVATELE'!E74</f>
        <v>0</v>
      </c>
      <c r="E41" s="326">
        <f>'NASTAVENI ZADAVATELE'!F74</f>
        <v>0</v>
      </c>
      <c r="F41" s="326">
        <f>'NASTAVENI ZADAVATELE'!G74</f>
        <v>0</v>
      </c>
      <c r="G41" s="326">
        <f>'NASTAVENI ZADAVATELE'!H74</f>
        <v>0</v>
      </c>
      <c r="H41" s="326">
        <f>'NASTAVENI ZADAVATELE'!I74</f>
        <v>0</v>
      </c>
      <c r="I41" s="326">
        <f>'NASTAVENI ZADAVATELE'!J74</f>
        <v>0</v>
      </c>
      <c r="J41" s="326">
        <f>'NASTAVENI ZADAVATELE'!K74</f>
        <v>0</v>
      </c>
      <c r="K41" s="326">
        <f>'NASTAVENI ZADAVATELE'!L74</f>
        <v>0</v>
      </c>
      <c r="L41" s="326">
        <f>'NASTAVENI ZADAVATELE'!M74</f>
        <v>0</v>
      </c>
      <c r="M41" s="327">
        <f>'NASTAVENI ZADAVATELE'!N74</f>
        <v>0</v>
      </c>
    </row>
    <row r="42" ht="12.75"/>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sheetData>
  <sheetProtection password="EEFD" sheet="1" scenarios="1" formatRows="0"/>
  <mergeCells count="35">
    <mergeCell ref="B38:B39"/>
    <mergeCell ref="B40:B41"/>
    <mergeCell ref="B16:B17"/>
    <mergeCell ref="C16:C17"/>
    <mergeCell ref="D16:M16"/>
    <mergeCell ref="B18:B19"/>
    <mergeCell ref="B20:B22"/>
    <mergeCell ref="B25:B26"/>
    <mergeCell ref="B23:B24"/>
    <mergeCell ref="B31:B32"/>
    <mergeCell ref="C31:C32"/>
    <mergeCell ref="D31:M31"/>
    <mergeCell ref="B33:B34"/>
    <mergeCell ref="B35:B37"/>
    <mergeCell ref="F8:G8"/>
    <mergeCell ref="J8:K8"/>
    <mergeCell ref="D6:E6"/>
    <mergeCell ref="D7:E7"/>
    <mergeCell ref="D8:E8"/>
    <mergeCell ref="F6:G6"/>
    <mergeCell ref="H6:I6"/>
    <mergeCell ref="H7:I7"/>
    <mergeCell ref="H8:I8"/>
    <mergeCell ref="J6:K6"/>
    <mergeCell ref="J7:K7"/>
    <mergeCell ref="D5:E5"/>
    <mergeCell ref="F5:G5"/>
    <mergeCell ref="F7:G7"/>
    <mergeCell ref="J5:K5"/>
    <mergeCell ref="H5:I5"/>
    <mergeCell ref="L5:M5"/>
    <mergeCell ref="L10:M10"/>
    <mergeCell ref="L6:M6"/>
    <mergeCell ref="L7:M7"/>
    <mergeCell ref="L8:M8"/>
  </mergeCells>
  <conditionalFormatting sqref="E45:N45 E47:N49 E51:N51">
    <cfRule type="expression" priority="2" dxfId="5">
      <formula>E39&lt;D28</formula>
    </cfRule>
  </conditionalFormatting>
  <conditionalFormatting sqref="D18:M26">
    <cfRule type="cellIs" priority="1" dxfId="17" operator="lessThan">
      <formula>D33</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83" r:id="rId2"/>
  <headerFooter>
    <oddHeader>&amp;C&amp;F</oddHeader>
    <oddFooter>&amp;C&amp;A</oddFooter>
  </headerFooter>
  <rowBreaks count="1" manualBreakCount="1">
    <brk id="27" max="16383" man="1"/>
  </rowBreaks>
  <ignoredErrors>
    <ignoredError sqref="D20:M20" formulaRange="1"/>
    <ignoredError sqref="D25:M25"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zoomScaleSheetLayoutView="100" workbookViewId="0" topLeftCell="A1">
      <selection activeCell="G5" sqref="G5"/>
    </sheetView>
  </sheetViews>
  <sheetFormatPr defaultColWidth="0" defaultRowHeight="12.75" zeroHeight="1"/>
  <cols>
    <col min="1" max="1" width="4.7109375" style="0" customWidth="1"/>
    <col min="2" max="6" width="9.140625" style="0" customWidth="1"/>
    <col min="7" max="9" width="14.140625" style="0" customWidth="1"/>
    <col min="10" max="10" width="13.28125" style="0" customWidth="1"/>
    <col min="11" max="11" width="6.7109375" style="0" customWidth="1"/>
    <col min="12" max="12" width="4.7109375" style="0" customWidth="1"/>
    <col min="13" max="16384" width="9.140625" style="0" hidden="1" customWidth="1"/>
  </cols>
  <sheetData>
    <row r="1" spans="1:12" ht="12.75">
      <c r="A1" s="10"/>
      <c r="B1" s="10"/>
      <c r="C1" s="10"/>
      <c r="D1" s="10"/>
      <c r="E1" s="10"/>
      <c r="F1" s="10"/>
      <c r="G1" s="10"/>
      <c r="H1" s="10"/>
      <c r="I1" s="10"/>
      <c r="J1" s="10"/>
      <c r="K1" s="10"/>
      <c r="L1" s="10"/>
    </row>
    <row r="2" spans="1:12" ht="12.75">
      <c r="A2" s="10"/>
      <c r="B2" s="11" t="s">
        <v>230</v>
      </c>
      <c r="C2" s="10"/>
      <c r="D2" s="10"/>
      <c r="E2" s="10"/>
      <c r="F2" s="10"/>
      <c r="G2" s="10"/>
      <c r="H2" s="10"/>
      <c r="I2" s="10"/>
      <c r="J2" s="10"/>
      <c r="K2" s="10"/>
      <c r="L2" s="10"/>
    </row>
    <row r="3" spans="1:12" ht="12.75">
      <c r="A3" s="10"/>
      <c r="B3" s="11"/>
      <c r="C3" s="10"/>
      <c r="D3" s="10"/>
      <c r="E3" s="10"/>
      <c r="F3" s="10"/>
      <c r="G3" s="10"/>
      <c r="H3" s="10"/>
      <c r="I3" s="10"/>
      <c r="J3" s="10"/>
      <c r="K3" s="10"/>
      <c r="L3" s="10"/>
    </row>
    <row r="4" spans="1:12" ht="12.75">
      <c r="A4" s="10"/>
      <c r="B4" s="10"/>
      <c r="C4" s="10"/>
      <c r="D4" s="10"/>
      <c r="E4" s="10"/>
      <c r="F4" s="10"/>
      <c r="G4" s="127" t="s">
        <v>119</v>
      </c>
      <c r="H4" s="127" t="s">
        <v>108</v>
      </c>
      <c r="I4" s="127" t="s">
        <v>260</v>
      </c>
      <c r="J4" s="729" t="s">
        <v>120</v>
      </c>
      <c r="K4" s="730"/>
      <c r="L4" s="10"/>
    </row>
    <row r="5" spans="1:12" ht="25.5">
      <c r="A5" s="10"/>
      <c r="B5" s="125" t="s">
        <v>235</v>
      </c>
      <c r="C5" s="28"/>
      <c r="D5" s="28"/>
      <c r="E5" s="28"/>
      <c r="F5" s="28"/>
      <c r="G5" s="128">
        <f>'Cenova nabidka NAFTA'!I32</f>
        <v>1.1320000000000001</v>
      </c>
      <c r="H5" s="128">
        <f>'Cenova nabidka CNG'!I32</f>
        <v>29.528722630769234</v>
      </c>
      <c r="I5" s="128">
        <f>'Cenova nabidka ELEKTRO'!I32</f>
        <v>1.1320000000000001</v>
      </c>
      <c r="J5" s="122">
        <f>'Cenova nabidka CELKOVA'!I31</f>
        <v>29.528722630769234</v>
      </c>
      <c r="K5" s="123" t="s">
        <v>32</v>
      </c>
      <c r="L5" s="10"/>
    </row>
    <row r="6" spans="1:12" ht="12.75">
      <c r="A6" s="10"/>
      <c r="B6" s="10"/>
      <c r="C6" s="10"/>
      <c r="D6" s="10"/>
      <c r="E6" s="10"/>
      <c r="F6" s="10"/>
      <c r="G6" s="10"/>
      <c r="H6" s="10"/>
      <c r="I6" s="10"/>
      <c r="J6" s="10"/>
      <c r="K6" s="10"/>
      <c r="L6" s="10"/>
    </row>
    <row r="7" spans="1:12" ht="25.5">
      <c r="A7" s="10"/>
      <c r="B7" s="125" t="s">
        <v>236</v>
      </c>
      <c r="C7" s="28"/>
      <c r="D7" s="28"/>
      <c r="E7" s="28"/>
      <c r="F7" s="28"/>
      <c r="G7" s="28"/>
      <c r="H7" s="28"/>
      <c r="I7" s="28"/>
      <c r="J7" s="134">
        <f>'Cenova nabidka PREPOCTENA'!I31</f>
        <v>29.88396664786325</v>
      </c>
      <c r="K7" s="123" t="s">
        <v>32</v>
      </c>
      <c r="L7" s="10"/>
    </row>
    <row r="8" spans="1:12" ht="13.5" thickBot="1">
      <c r="A8" s="10"/>
      <c r="B8" s="10"/>
      <c r="C8" s="10"/>
      <c r="D8" s="10"/>
      <c r="E8" s="10"/>
      <c r="F8" s="10"/>
      <c r="G8" s="10"/>
      <c r="H8" s="10"/>
      <c r="I8" s="10"/>
      <c r="J8" s="10"/>
      <c r="K8" s="10"/>
      <c r="L8" s="10"/>
    </row>
    <row r="9" spans="1:12" ht="27" thickBot="1">
      <c r="A9" s="10"/>
      <c r="B9" s="133" t="s">
        <v>268</v>
      </c>
      <c r="C9" s="124"/>
      <c r="D9" s="124"/>
      <c r="E9" s="124"/>
      <c r="F9" s="124"/>
      <c r="G9" s="124"/>
      <c r="H9" s="124"/>
      <c r="I9" s="124"/>
      <c r="J9" s="135">
        <f>ROUND(J5*(1-'NASTAVENI ZADAVATELE'!$H$23)+'Financni hodnoceni'!J7*'NASTAVENI ZADAVATELE'!$H$23,2)</f>
        <v>29.62</v>
      </c>
      <c r="K9" s="129" t="s">
        <v>32</v>
      </c>
      <c r="L9" s="10"/>
    </row>
    <row r="10" spans="1:12" ht="12.75">
      <c r="A10" s="10"/>
      <c r="B10" s="10"/>
      <c r="C10" s="10"/>
      <c r="D10" s="10"/>
      <c r="E10" s="10"/>
      <c r="F10" s="10"/>
      <c r="G10" s="10"/>
      <c r="H10" s="10"/>
      <c r="I10" s="10"/>
      <c r="J10" s="10"/>
      <c r="K10" s="10"/>
      <c r="L10" s="10"/>
    </row>
  </sheetData>
  <sheetProtection password="EEFD" sheet="1" objects="1" scenarios="1" formatRows="0"/>
  <mergeCells count="1">
    <mergeCell ref="J4:K4"/>
  </mergeCells>
  <conditionalFormatting sqref="G5">
    <cfRule type="cellIs" priority="64" dxfId="16" operator="greaterThan">
      <formula>'NASTAVENI ZADAVATELE'!$H$13</formula>
    </cfRule>
    <cfRule type="expression" priority="3" dxfId="11">
      <formula>'Cenova nabidka NAFTA'!$L$34=0</formula>
    </cfRule>
  </conditionalFormatting>
  <conditionalFormatting sqref="H5">
    <cfRule type="cellIs" priority="65" dxfId="5" operator="greaterThan">
      <formula>'NASTAVENI ZADAVATELE'!$H$14</formula>
    </cfRule>
    <cfRule type="expression" priority="2" dxfId="11">
      <formula>'Cenova nabidka CNG'!$L$34=0</formula>
    </cfRule>
  </conditionalFormatting>
  <conditionalFormatting sqref="I5">
    <cfRule type="cellIs" priority="66" dxfId="5" operator="greaterThan">
      <formula>'NASTAVENI ZADAVATELE'!$H$15</formula>
    </cfRule>
    <cfRule type="expression" priority="1" dxfId="11">
      <formula>'Cenova nabidka ELEKTRO'!$L$34=0</formula>
    </cfRule>
  </conditionalFormatting>
  <conditionalFormatting sqref="J5:K5">
    <cfRule type="expression" priority="78" dxfId="5">
      <formula>OR('Cenova nabidka NAFTA'!#REF!&gt;'NASTAVENI ZADAVATELE'!#REF!,'Cenova nabidka CNG'!$K$32&gt;'NASTAVENI ZADAVATELE'!#REF!,'Cenova nabidka ELEKTRO'!$K$32&gt;'NASTAVENI ZADAVATELE'!#REF!)</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1"/>
  <headerFooter>
    <oddHeader>&amp;C&amp;F</oddHeader>
    <oddFooter>&amp;C&amp;A</oddFooter>
  </headerFooter>
  <extLst>
    <ext xmlns:x14="http://schemas.microsoft.com/office/spreadsheetml/2009/9/main" uri="{78C0D931-6437-407d-A8EE-F0AAD7539E65}">
      <x14:conditionalFormattings>
        <x14:conditionalFormatting xmlns:xm="http://schemas.microsoft.com/office/excel/2006/main">
          <x14:cfRule type="cellIs" priority="64" operator="greaterThan">
            <xm:f>'NASTAVENI ZADAVATELE'!$H$13</xm:f>
            <x14:dxf>
              <font>
                <b val="0"/>
                <i val="0"/>
                <color auto="1"/>
              </font>
              <fill>
                <patternFill>
                  <bgColor rgb="FFFF0000"/>
                </patternFill>
              </fill>
            </x14:dxf>
          </x14:cfRule>
          <x14:cfRule type="expression" priority="3">
            <xm:f>'Cenova nabidka NAFTA'!$L$34=0</xm:f>
            <x14:dxf>
              <font>
                <color theme="0"/>
              </font>
            </x14:dxf>
          </x14:cfRule>
          <xm:sqref>G5</xm:sqref>
        </x14:conditionalFormatting>
        <x14:conditionalFormatting xmlns:xm="http://schemas.microsoft.com/office/excel/2006/main">
          <x14:cfRule type="cellIs" priority="65" operator="greaterThan">
            <xm:f>'NASTAVENI ZADAVATELE'!$H$14</xm:f>
            <x14:dxf>
              <fill>
                <patternFill>
                  <bgColor rgb="FFFF0000"/>
                </patternFill>
              </fill>
            </x14:dxf>
          </x14:cfRule>
          <x14:cfRule type="expression" priority="2">
            <xm:f>'Cenova nabidka CNG'!$L$34=0</xm:f>
            <x14:dxf>
              <font>
                <color theme="0"/>
              </font>
            </x14:dxf>
          </x14:cfRule>
          <xm:sqref>H5</xm:sqref>
        </x14:conditionalFormatting>
        <x14:conditionalFormatting xmlns:xm="http://schemas.microsoft.com/office/excel/2006/main">
          <x14:cfRule type="cellIs" priority="66" operator="greaterThan">
            <xm:f>'NASTAVENI ZADAVATELE'!$H$15</xm:f>
            <x14:dxf>
              <fill>
                <patternFill>
                  <bgColor rgb="FFFF0000"/>
                </patternFill>
              </fill>
            </x14:dxf>
          </x14:cfRule>
          <x14:cfRule type="expression" priority="1">
            <xm:f>'Cenova nabidka ELEKTRO'!$L$34=0</xm:f>
            <x14:dxf>
              <font>
                <color theme="0"/>
              </font>
            </x14:dxf>
          </x14:cfRule>
          <xm:sqref>I5</xm:sqref>
        </x14:conditionalFormatting>
        <x14:conditionalFormatting xmlns:xm="http://schemas.microsoft.com/office/excel/2006/main">
          <x14:cfRule type="expression" priority="78">
            <xm:f>OR('Cenova nabidka NAFTA'!#REF!&gt;'NASTAVENI ZADAVATELE'!#REF!,'Cenova nabidka CNG'!$K$32&gt;'NASTAVENI ZADAVATELE'!#REF!,'Cenova nabidka ELEKTRO'!$K$32&gt;'NASTAVENI ZADAVATELE'!#REF!)</xm:f>
            <x14:dxf>
              <fill>
                <patternFill>
                  <bgColor rgb="FFFF0000"/>
                </patternFill>
              </fill>
            </x14:dxf>
          </x14:cfRule>
          <xm:sqref>J5:K5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2"/>
  <sheetViews>
    <sheetView zoomScaleSheetLayoutView="100" workbookViewId="0" topLeftCell="A10">
      <selection activeCell="K7" sqref="K7"/>
    </sheetView>
  </sheetViews>
  <sheetFormatPr defaultColWidth="0" defaultRowHeight="0" customHeight="1" zeroHeight="1"/>
  <cols>
    <col min="1" max="1" width="4.7109375" style="9" customWidth="1"/>
    <col min="2" max="2" width="6.7109375" style="9" customWidth="1"/>
    <col min="3" max="3" width="27.57421875" style="9" bestFit="1" customWidth="1"/>
    <col min="4" max="4" width="6.7109375" style="9" customWidth="1"/>
    <col min="5" max="5" width="18.8515625" style="9" customWidth="1"/>
    <col min="6" max="8" width="10.7109375" style="40" customWidth="1"/>
    <col min="9" max="9" width="14.7109375" style="9" customWidth="1"/>
    <col min="10" max="10" width="4.57421875" style="9" customWidth="1"/>
    <col min="11" max="11" width="16.7109375" style="9" customWidth="1"/>
    <col min="12" max="12" width="4.7109375" style="9" customWidth="1"/>
    <col min="13" max="16" width="0" style="9" hidden="1" customWidth="1"/>
    <col min="17" max="16384" width="9.140625" style="9" hidden="1" customWidth="1"/>
  </cols>
  <sheetData>
    <row r="1" spans="1:12" ht="12.75">
      <c r="A1" s="10"/>
      <c r="B1" s="10"/>
      <c r="C1" s="10"/>
      <c r="D1" s="10"/>
      <c r="E1" s="10"/>
      <c r="F1" s="30"/>
      <c r="G1" s="30"/>
      <c r="H1" s="30"/>
      <c r="I1" s="10"/>
      <c r="J1" s="10"/>
      <c r="K1" s="10"/>
      <c r="L1" s="10"/>
    </row>
    <row r="2" spans="1:12" ht="12.75">
      <c r="A2" s="10"/>
      <c r="B2" s="11" t="s">
        <v>240</v>
      </c>
      <c r="C2" s="10"/>
      <c r="D2" s="11"/>
      <c r="E2" s="10"/>
      <c r="F2" s="30"/>
      <c r="G2" s="30"/>
      <c r="H2" s="236">
        <v>1</v>
      </c>
      <c r="I2" s="228" t="s">
        <v>137</v>
      </c>
      <c r="J2" s="10"/>
      <c r="K2" s="10"/>
      <c r="L2" s="10"/>
    </row>
    <row r="3" spans="1:12" ht="13.5" thickBot="1">
      <c r="A3" s="10"/>
      <c r="B3" s="10"/>
      <c r="C3" s="10"/>
      <c r="D3" s="10"/>
      <c r="E3" s="10"/>
      <c r="F3" s="30"/>
      <c r="G3" s="30"/>
      <c r="H3" s="30"/>
      <c r="I3" s="10"/>
      <c r="J3" s="10"/>
      <c r="K3" s="10"/>
      <c r="L3" s="10"/>
    </row>
    <row r="4" spans="1:12" s="8" customFormat="1" ht="38.25" customHeight="1">
      <c r="A4" s="12"/>
      <c r="B4" s="13" t="s">
        <v>35</v>
      </c>
      <c r="C4" s="14" t="s">
        <v>36</v>
      </c>
      <c r="D4" s="14" t="s">
        <v>38</v>
      </c>
      <c r="E4" s="14" t="s">
        <v>37</v>
      </c>
      <c r="F4" s="31" t="s">
        <v>234</v>
      </c>
      <c r="G4" s="31" t="s">
        <v>102</v>
      </c>
      <c r="H4" s="231" t="s">
        <v>103</v>
      </c>
      <c r="I4" s="309" t="s">
        <v>199</v>
      </c>
      <c r="J4" s="731" t="s">
        <v>205</v>
      </c>
      <c r="K4" s="732"/>
      <c r="L4" s="12"/>
    </row>
    <row r="5" spans="1:12" s="44" customFormat="1" ht="13.5" thickBot="1">
      <c r="A5" s="41"/>
      <c r="B5" s="42"/>
      <c r="C5" s="34"/>
      <c r="D5" s="34"/>
      <c r="E5" s="34"/>
      <c r="F5" s="33" t="s">
        <v>39</v>
      </c>
      <c r="G5" s="33" t="s">
        <v>39</v>
      </c>
      <c r="H5" s="33" t="s">
        <v>39</v>
      </c>
      <c r="I5" s="34" t="s">
        <v>34</v>
      </c>
      <c r="J5" s="733" t="s">
        <v>33</v>
      </c>
      <c r="K5" s="734"/>
      <c r="L5" s="41"/>
    </row>
    <row r="6" spans="1:12" ht="13.5" thickTop="1">
      <c r="A6" s="10"/>
      <c r="B6" s="15">
        <v>11</v>
      </c>
      <c r="C6" s="16" t="s">
        <v>124</v>
      </c>
      <c r="D6" s="17" t="s">
        <v>22</v>
      </c>
      <c r="E6" s="18" t="s">
        <v>119</v>
      </c>
      <c r="F6" s="235">
        <f>ROUND('NASTAVENI ZADAVATELE'!G34,2)</f>
        <v>1</v>
      </c>
      <c r="G6" s="235">
        <f>ROUND('NASTAVENI ZADAVATELE'!H34,2)</f>
        <v>0</v>
      </c>
      <c r="H6" s="235">
        <f>100%-F6-G6</f>
        <v>0</v>
      </c>
      <c r="I6" s="209">
        <f>'Cenova nabidka NAFTA'!I7+'Cenova nabidka CNG'!I7+'Cenova nabidka ELEKTRO'!I7</f>
        <v>0</v>
      </c>
      <c r="J6" s="203"/>
      <c r="K6" s="210">
        <f>'Cenova nabidka NAFTA'!L34</f>
        <v>0</v>
      </c>
      <c r="L6" s="10"/>
    </row>
    <row r="7" spans="1:12" ht="12.75">
      <c r="A7" s="10"/>
      <c r="B7" s="19"/>
      <c r="C7" s="20"/>
      <c r="D7" s="21" t="s">
        <v>23</v>
      </c>
      <c r="E7" s="22" t="s">
        <v>108</v>
      </c>
      <c r="F7" s="235">
        <f>ROUND('NASTAVENI ZADAVATELE'!G35,2)</f>
        <v>1</v>
      </c>
      <c r="G7" s="235">
        <f>ROUND('NASTAVENI ZADAVATELE'!H35,2)</f>
        <v>0</v>
      </c>
      <c r="H7" s="235">
        <f>100%-F7-G7</f>
        <v>0</v>
      </c>
      <c r="I7" s="209">
        <f>'Cenova nabidka NAFTA'!I8+'Cenova nabidka CNG'!I8+'Cenova nabidka ELEKTRO'!I8</f>
        <v>6.703722630769232</v>
      </c>
      <c r="J7" s="204"/>
      <c r="K7" s="211">
        <f>'Cenova nabidka CNG'!L34</f>
        <v>2694453</v>
      </c>
      <c r="L7" s="10"/>
    </row>
    <row r="8" spans="1:12" ht="12.75">
      <c r="A8" s="10"/>
      <c r="B8" s="19"/>
      <c r="C8" s="20"/>
      <c r="D8" s="21" t="s">
        <v>24</v>
      </c>
      <c r="E8" s="22" t="s">
        <v>260</v>
      </c>
      <c r="F8" s="235">
        <f>ROUND('NASTAVENI ZADAVATELE'!G36,2)</f>
        <v>1</v>
      </c>
      <c r="G8" s="235">
        <f>ROUND('NASTAVENI ZADAVATELE'!H36,2)</f>
        <v>0</v>
      </c>
      <c r="H8" s="235">
        <f>100%-F8-G8</f>
        <v>0</v>
      </c>
      <c r="I8" s="209">
        <f>'Cenova nabidka NAFTA'!I9+'Cenova nabidka CNG'!I9+'Cenova nabidka ELEKTRO'!I9</f>
        <v>0</v>
      </c>
      <c r="J8" s="204"/>
      <c r="K8" s="211">
        <f>'Cenova nabidka ELEKTRO'!L34</f>
        <v>0</v>
      </c>
      <c r="L8" s="10"/>
    </row>
    <row r="9" spans="1:12" ht="12.75">
      <c r="A9" s="10"/>
      <c r="B9" s="23"/>
      <c r="C9" s="18"/>
      <c r="D9" s="21" t="s">
        <v>123</v>
      </c>
      <c r="E9" s="22" t="s">
        <v>25</v>
      </c>
      <c r="F9" s="235">
        <f>ROUND('NASTAVENI ZADAVATELE'!G37,2)</f>
        <v>1</v>
      </c>
      <c r="G9" s="235">
        <f>ROUND('NASTAVENI ZADAVATELE'!H37,2)</f>
        <v>0</v>
      </c>
      <c r="H9" s="235">
        <f>100%-F9-G9</f>
        <v>0</v>
      </c>
      <c r="I9" s="209">
        <f>('Cenova nabidka NAFTA'!I10*$K$6+'Cenova nabidka CNG'!I10*$K$7+'Cenova nabidka ELEKTRO'!I10*$K$8)/$K$17</f>
        <v>0.09999999999999999</v>
      </c>
      <c r="J9" s="205" t="s">
        <v>45</v>
      </c>
      <c r="K9" s="212">
        <f aca="true" t="shared" si="0" ref="K9:K16">$K$17</f>
        <v>2694453</v>
      </c>
      <c r="L9" s="10"/>
    </row>
    <row r="10" spans="1:12" ht="12.75">
      <c r="A10" s="10"/>
      <c r="B10" s="24">
        <v>12</v>
      </c>
      <c r="C10" s="47" t="s">
        <v>8</v>
      </c>
      <c r="D10" s="49"/>
      <c r="E10" s="48"/>
      <c r="F10" s="235">
        <f>ROUND('NASTAVENI ZADAVATELE'!G38,2)</f>
        <v>1</v>
      </c>
      <c r="G10" s="235">
        <f>ROUND('NASTAVENI ZADAVATELE'!H38,2)</f>
        <v>0</v>
      </c>
      <c r="H10" s="235">
        <f aca="true" t="shared" si="1" ref="H10:H26">100%-F10-G10</f>
        <v>0</v>
      </c>
      <c r="I10" s="192">
        <f>('Cenova nabidka NAFTA'!I11*$K$6+'Cenova nabidka CNG'!I11*$K$7+'Cenova nabidka ELEKTRO'!I11*$K$8)/$K$17</f>
        <v>0.773</v>
      </c>
      <c r="J10" s="205" t="s">
        <v>45</v>
      </c>
      <c r="K10" s="212">
        <f t="shared" si="0"/>
        <v>2694453</v>
      </c>
      <c r="L10" s="10"/>
    </row>
    <row r="11" spans="1:12" ht="12.75">
      <c r="A11" s="10"/>
      <c r="B11" s="24">
        <v>13</v>
      </c>
      <c r="C11" s="47" t="s">
        <v>9</v>
      </c>
      <c r="D11" s="49"/>
      <c r="E11" s="48"/>
      <c r="F11" s="36">
        <f>ROUND('NABIDKA DOPRAVCE'!G16,2)</f>
        <v>1</v>
      </c>
      <c r="G11" s="236">
        <f>ROUND('NASTAVENI ZADAVATELE'!H39,2)</f>
        <v>0</v>
      </c>
      <c r="H11" s="36">
        <f t="shared" si="1"/>
        <v>0</v>
      </c>
      <c r="I11" s="192">
        <f>('Cenova nabidka NAFTA'!I12*$K$6+'Cenova nabidka CNG'!I12*$K$7+'Cenova nabidka ELEKTRO'!I12*$K$8)/$K$17</f>
        <v>2.03</v>
      </c>
      <c r="J11" s="205" t="s">
        <v>45</v>
      </c>
      <c r="K11" s="212">
        <f t="shared" si="0"/>
        <v>2694453</v>
      </c>
      <c r="L11" s="10"/>
    </row>
    <row r="12" spans="1:12" ht="12.75">
      <c r="A12" s="10"/>
      <c r="B12" s="25">
        <v>14</v>
      </c>
      <c r="C12" s="26" t="s">
        <v>10</v>
      </c>
      <c r="D12" s="21" t="s">
        <v>28</v>
      </c>
      <c r="E12" s="22" t="s">
        <v>26</v>
      </c>
      <c r="F12" s="236">
        <f>ROUND('NASTAVENI ZADAVATELE'!G40,2)</f>
        <v>0</v>
      </c>
      <c r="G12" s="236">
        <f>ROUND('NASTAVENI ZADAVATELE'!H40,2)</f>
        <v>1</v>
      </c>
      <c r="H12" s="236">
        <f t="shared" si="1"/>
        <v>0</v>
      </c>
      <c r="I12" s="192">
        <f>('Cenova nabidka NAFTA'!I13*$K$6+'Cenova nabidka CNG'!I13*$K$7+'Cenova nabidka ELEKTRO'!I13*$K$8)/$K$17</f>
        <v>7.245</v>
      </c>
      <c r="J12" s="205" t="s">
        <v>45</v>
      </c>
      <c r="K12" s="212">
        <f t="shared" si="0"/>
        <v>2694453</v>
      </c>
      <c r="L12" s="10"/>
    </row>
    <row r="13" spans="1:12" ht="12.75">
      <c r="A13" s="10"/>
      <c r="B13" s="23"/>
      <c r="C13" s="18"/>
      <c r="D13" s="21" t="s">
        <v>29</v>
      </c>
      <c r="E13" s="22" t="s">
        <v>25</v>
      </c>
      <c r="F13" s="36">
        <f>ROUND('NABIDKA DOPRAVCE'!G18,2)</f>
        <v>0</v>
      </c>
      <c r="G13" s="236">
        <f>ROUND('NASTAVENI ZADAVATELE'!H41,2)</f>
        <v>0</v>
      </c>
      <c r="H13" s="36">
        <f t="shared" si="1"/>
        <v>1</v>
      </c>
      <c r="I13" s="192">
        <f>('Cenova nabidka NAFTA'!I14*$K$6+'Cenova nabidka CNG'!I14*$K$7+'Cenova nabidka ELEKTRO'!I14*$K$8)/$K$17</f>
        <v>0.076</v>
      </c>
      <c r="J13" s="205" t="s">
        <v>45</v>
      </c>
      <c r="K13" s="212">
        <f t="shared" si="0"/>
        <v>2694453</v>
      </c>
      <c r="L13" s="10"/>
    </row>
    <row r="14" spans="1:12" ht="12.75">
      <c r="A14" s="10"/>
      <c r="B14" s="24">
        <v>15</v>
      </c>
      <c r="C14" s="47" t="s">
        <v>42</v>
      </c>
      <c r="D14" s="49"/>
      <c r="E14" s="48"/>
      <c r="F14" s="236">
        <f>ROUND('NASTAVENI ZADAVATELE'!G42,2)</f>
        <v>0</v>
      </c>
      <c r="G14" s="236">
        <f>ROUND('NASTAVENI ZADAVATELE'!H42,2)</f>
        <v>1</v>
      </c>
      <c r="H14" s="236">
        <f t="shared" si="1"/>
        <v>0</v>
      </c>
      <c r="I14" s="192">
        <f>('Cenova nabidka NAFTA'!I15*$K$6+'Cenova nabidka CNG'!I15*$K$7+'Cenova nabidka ELEKTRO'!I15*$K$8)/$K$17</f>
        <v>0</v>
      </c>
      <c r="J14" s="205" t="s">
        <v>45</v>
      </c>
      <c r="K14" s="212">
        <f t="shared" si="0"/>
        <v>2694453</v>
      </c>
      <c r="L14" s="10"/>
    </row>
    <row r="15" spans="1:12" ht="12.75">
      <c r="A15" s="10"/>
      <c r="B15" s="25">
        <v>16</v>
      </c>
      <c r="C15" s="26" t="s">
        <v>11</v>
      </c>
      <c r="D15" s="21" t="s">
        <v>30</v>
      </c>
      <c r="E15" s="22" t="s">
        <v>27</v>
      </c>
      <c r="F15" s="235">
        <f>ROUND('NASTAVENI ZADAVATELE'!G43,2)</f>
        <v>0.67</v>
      </c>
      <c r="G15" s="235">
        <f>ROUND('NASTAVENI ZADAVATELE'!H43,2)</f>
        <v>0.33</v>
      </c>
      <c r="H15" s="235">
        <f t="shared" si="1"/>
        <v>0</v>
      </c>
      <c r="I15" s="192">
        <f>('Cenova nabidka NAFTA'!I16*$K$6+'Cenova nabidka CNG'!I16*$K$7+'Cenova nabidka ELEKTRO'!I16*$K$8)/$K$17</f>
        <v>6.146</v>
      </c>
      <c r="J15" s="205" t="s">
        <v>45</v>
      </c>
      <c r="K15" s="212">
        <f t="shared" si="0"/>
        <v>2694453</v>
      </c>
      <c r="L15" s="10"/>
    </row>
    <row r="16" spans="1:12" ht="12.75">
      <c r="A16" s="10"/>
      <c r="B16" s="23"/>
      <c r="C16" s="18"/>
      <c r="D16" s="21" t="s">
        <v>31</v>
      </c>
      <c r="E16" s="22" t="s">
        <v>25</v>
      </c>
      <c r="F16" s="36">
        <f>ROUND('NABIDKA DOPRAVCE'!G21,2)</f>
        <v>0.67</v>
      </c>
      <c r="G16" s="36">
        <f>ROUND('NABIDKA DOPRAVCE'!H21,2)</f>
        <v>0</v>
      </c>
      <c r="H16" s="36">
        <f t="shared" si="1"/>
        <v>0.32999999999999996</v>
      </c>
      <c r="I16" s="192">
        <f>('Cenova nabidka NAFTA'!I17*$K$6+'Cenova nabidka CNG'!I17*$K$7+'Cenova nabidka ELEKTRO'!I17*$K$8)/$K$17</f>
        <v>0.22299999999999998</v>
      </c>
      <c r="J16" s="205" t="s">
        <v>45</v>
      </c>
      <c r="K16" s="212">
        <f t="shared" si="0"/>
        <v>2694453</v>
      </c>
      <c r="L16" s="10"/>
    </row>
    <row r="17" spans="1:12" ht="12.75">
      <c r="A17" s="10"/>
      <c r="B17" s="25">
        <v>17</v>
      </c>
      <c r="C17" s="26" t="s">
        <v>12</v>
      </c>
      <c r="D17" s="21" t="s">
        <v>40</v>
      </c>
      <c r="E17" s="22" t="s">
        <v>27</v>
      </c>
      <c r="F17" s="236">
        <f>F15</f>
        <v>0.67</v>
      </c>
      <c r="G17" s="236">
        <f>G15</f>
        <v>0.33</v>
      </c>
      <c r="H17" s="236">
        <f t="shared" si="1"/>
        <v>0</v>
      </c>
      <c r="I17" s="192">
        <f>('Cenova nabidka NAFTA'!I18*$K$6+'Cenova nabidka CNG'!I18*$K$7+'Cenova nabidka ELEKTRO'!I18*$K$8)/$K$17</f>
        <v>2.09</v>
      </c>
      <c r="J17" s="205" t="s">
        <v>45</v>
      </c>
      <c r="K17" s="213">
        <f>K6+K7+K8</f>
        <v>2694453</v>
      </c>
      <c r="L17" s="10"/>
    </row>
    <row r="18" spans="1:12" ht="12.75">
      <c r="A18" s="10"/>
      <c r="B18" s="23"/>
      <c r="C18" s="18"/>
      <c r="D18" s="21" t="s">
        <v>41</v>
      </c>
      <c r="E18" s="22" t="s">
        <v>25</v>
      </c>
      <c r="F18" s="37">
        <f>F16</f>
        <v>0.67</v>
      </c>
      <c r="G18" s="36">
        <f>G16</f>
        <v>0</v>
      </c>
      <c r="H18" s="36">
        <f t="shared" si="1"/>
        <v>0.32999999999999996</v>
      </c>
      <c r="I18" s="192">
        <f>('Cenova nabidka NAFTA'!I19*$K$6+'Cenova nabidka CNG'!I19*$K$7+'Cenova nabidka ELEKTRO'!I19*$K$8)/$K$17</f>
        <v>0.076</v>
      </c>
      <c r="J18" s="205" t="s">
        <v>45</v>
      </c>
      <c r="K18" s="212">
        <f aca="true" t="shared" si="2" ref="K18:K26">$K$17</f>
        <v>2694453</v>
      </c>
      <c r="L18" s="10"/>
    </row>
    <row r="19" spans="1:12" ht="12.75">
      <c r="A19" s="10"/>
      <c r="B19" s="24">
        <v>18</v>
      </c>
      <c r="C19" s="47" t="s">
        <v>13</v>
      </c>
      <c r="D19" s="49"/>
      <c r="E19" s="48"/>
      <c r="F19" s="36">
        <f>ROUND('NABIDKA DOPRAVCE'!G24,2)</f>
        <v>0.65</v>
      </c>
      <c r="G19" s="236">
        <f>ROUND('NASTAVENI ZADAVATELE'!H47,2)</f>
        <v>0</v>
      </c>
      <c r="H19" s="36">
        <f t="shared" si="1"/>
        <v>0.35</v>
      </c>
      <c r="I19" s="192">
        <f>('Cenova nabidka NAFTA'!I20*$K$6+'Cenova nabidka CNG'!I20*$K$7+'Cenova nabidka ELEKTRO'!I20*$K$8)/$K$17</f>
        <v>0.424</v>
      </c>
      <c r="J19" s="205" t="s">
        <v>45</v>
      </c>
      <c r="K19" s="212">
        <f t="shared" si="2"/>
        <v>2694453</v>
      </c>
      <c r="L19" s="10"/>
    </row>
    <row r="20" spans="1:12" ht="12.75">
      <c r="A20" s="10"/>
      <c r="B20" s="24">
        <v>19</v>
      </c>
      <c r="C20" s="47" t="s">
        <v>14</v>
      </c>
      <c r="D20" s="49"/>
      <c r="E20" s="48"/>
      <c r="F20" s="36">
        <f>ROUND('NABIDKA DOPRAVCE'!G25,2)</f>
        <v>1</v>
      </c>
      <c r="G20" s="236">
        <f>ROUND('NASTAVENI ZADAVATELE'!H48,2)</f>
        <v>0</v>
      </c>
      <c r="H20" s="36">
        <f t="shared" si="1"/>
        <v>0</v>
      </c>
      <c r="I20" s="192">
        <f>('Cenova nabidka NAFTA'!I21*$K$6+'Cenova nabidka CNG'!I21*$K$7+'Cenova nabidka ELEKTRO'!I21*$K$8)/$K$17</f>
        <v>0.28</v>
      </c>
      <c r="J20" s="205" t="s">
        <v>45</v>
      </c>
      <c r="K20" s="212">
        <f t="shared" si="2"/>
        <v>2694453</v>
      </c>
      <c r="L20" s="10"/>
    </row>
    <row r="21" spans="1:12" ht="12.75">
      <c r="A21" s="10"/>
      <c r="B21" s="24">
        <v>20</v>
      </c>
      <c r="C21" s="47" t="s">
        <v>15</v>
      </c>
      <c r="D21" s="49"/>
      <c r="E21" s="48"/>
      <c r="F21" s="36">
        <f>ROUND('NABIDKA DOPRAVCE'!G26,2)</f>
        <v>0</v>
      </c>
      <c r="G21" s="236">
        <f>ROUND('NASTAVENI ZADAVATELE'!H49,2)</f>
        <v>1</v>
      </c>
      <c r="H21" s="36">
        <f t="shared" si="1"/>
        <v>0</v>
      </c>
      <c r="I21" s="192">
        <f>('Cenova nabidka NAFTA'!I22*$K$6+'Cenova nabidka CNG'!I22*$K$7+'Cenova nabidka ELEKTRO'!I22*$K$8)/$K$17</f>
        <v>0</v>
      </c>
      <c r="J21" s="205" t="s">
        <v>45</v>
      </c>
      <c r="K21" s="212">
        <f t="shared" si="2"/>
        <v>2694453</v>
      </c>
      <c r="L21" s="10"/>
    </row>
    <row r="22" spans="1:12" ht="12.75">
      <c r="A22" s="10"/>
      <c r="B22" s="24">
        <v>21</v>
      </c>
      <c r="C22" s="47" t="s">
        <v>16</v>
      </c>
      <c r="D22" s="49"/>
      <c r="E22" s="48"/>
      <c r="F22" s="236">
        <f>ROUND('NASTAVENI ZADAVATELE'!G50,2)</f>
        <v>1</v>
      </c>
      <c r="G22" s="236">
        <f>ROUND('NASTAVENI ZADAVATELE'!H50,2)</f>
        <v>0</v>
      </c>
      <c r="H22" s="236">
        <f t="shared" si="1"/>
        <v>0</v>
      </c>
      <c r="I22" s="192">
        <f>('Cenova nabidka NAFTA'!I23*$K$6+'Cenova nabidka CNG'!I23*$K$7+'Cenova nabidka ELEKTRO'!I23*$K$8)/$K$17</f>
        <v>0.032</v>
      </c>
      <c r="J22" s="205" t="s">
        <v>45</v>
      </c>
      <c r="K22" s="212">
        <f t="shared" si="2"/>
        <v>2694453</v>
      </c>
      <c r="L22" s="10"/>
    </row>
    <row r="23" spans="1:12" ht="12.75">
      <c r="A23" s="10"/>
      <c r="B23" s="24">
        <v>22</v>
      </c>
      <c r="C23" s="47" t="s">
        <v>17</v>
      </c>
      <c r="D23" s="49"/>
      <c r="E23" s="48"/>
      <c r="F23" s="36">
        <f>ROUND('NABIDKA DOPRAVCE'!G28,2)</f>
        <v>0</v>
      </c>
      <c r="G23" s="36">
        <f>ROUND('NABIDKA DOPRAVCE'!H28,2)</f>
        <v>0</v>
      </c>
      <c r="H23" s="36">
        <f t="shared" si="1"/>
        <v>1</v>
      </c>
      <c r="I23" s="192">
        <f>('Cenova nabidka NAFTA'!I24*$K$6+'Cenova nabidka CNG'!I24*$K$7+'Cenova nabidka ELEKTRO'!I24*$K$8)/$K$17</f>
        <v>0.25</v>
      </c>
      <c r="J23" s="205" t="s">
        <v>45</v>
      </c>
      <c r="K23" s="212">
        <f t="shared" si="2"/>
        <v>2694453</v>
      </c>
      <c r="L23" s="10"/>
    </row>
    <row r="24" spans="1:12" ht="12.75">
      <c r="A24" s="10"/>
      <c r="B24" s="24">
        <v>23</v>
      </c>
      <c r="C24" s="47" t="s">
        <v>18</v>
      </c>
      <c r="D24" s="49"/>
      <c r="E24" s="48"/>
      <c r="F24" s="36">
        <f>ROUND('NABIDKA DOPRAVCE'!G29,2)</f>
        <v>0.75</v>
      </c>
      <c r="G24" s="36">
        <f>ROUND('NABIDKA DOPRAVCE'!H29,2)</f>
        <v>0</v>
      </c>
      <c r="H24" s="36">
        <f t="shared" si="1"/>
        <v>0.25</v>
      </c>
      <c r="I24" s="192">
        <f>('Cenova nabidka NAFTA'!I25*$K$6+'Cenova nabidka CNG'!I25*$K$7+'Cenova nabidka ELEKTRO'!I25*$K$8)/$K$17</f>
        <v>0.45</v>
      </c>
      <c r="J24" s="205" t="s">
        <v>45</v>
      </c>
      <c r="K24" s="212">
        <f t="shared" si="2"/>
        <v>2694453</v>
      </c>
      <c r="L24" s="10"/>
    </row>
    <row r="25" spans="1:12" ht="12.75">
      <c r="A25" s="10"/>
      <c r="B25" s="24">
        <v>24</v>
      </c>
      <c r="C25" s="47" t="s">
        <v>19</v>
      </c>
      <c r="D25" s="49"/>
      <c r="E25" s="48"/>
      <c r="F25" s="36">
        <f>ROUND('NABIDKA DOPRAVCE'!G30,2)</f>
        <v>0.75</v>
      </c>
      <c r="G25" s="36">
        <f>ROUND('NABIDKA DOPRAVCE'!H30,2)</f>
        <v>0</v>
      </c>
      <c r="H25" s="36">
        <f t="shared" si="1"/>
        <v>0.25</v>
      </c>
      <c r="I25" s="192">
        <f>('Cenova nabidka NAFTA'!I26*$K$6+'Cenova nabidka CNG'!I26*$K$7+'Cenova nabidka ELEKTRO'!I26*$K$8)/$K$17</f>
        <v>0.85</v>
      </c>
      <c r="J25" s="205" t="s">
        <v>45</v>
      </c>
      <c r="K25" s="212">
        <f t="shared" si="2"/>
        <v>2694453</v>
      </c>
      <c r="L25" s="10"/>
    </row>
    <row r="26" spans="1:12" ht="12.75">
      <c r="A26" s="10"/>
      <c r="B26" s="24">
        <v>25</v>
      </c>
      <c r="C26" s="47" t="s">
        <v>20</v>
      </c>
      <c r="D26" s="49"/>
      <c r="E26" s="48"/>
      <c r="F26" s="36">
        <f>ROUND('NABIDKA DOPRAVCE'!G31,2)</f>
        <v>1</v>
      </c>
      <c r="G26" s="36">
        <f>ROUND('NABIDKA DOPRAVCE'!H31,2)</f>
        <v>0</v>
      </c>
      <c r="H26" s="36">
        <f t="shared" si="1"/>
        <v>0</v>
      </c>
      <c r="I26" s="192">
        <f>('Cenova nabidka NAFTA'!I27*$K$6+'Cenova nabidka CNG'!I27*$K$7+'Cenova nabidka ELEKTRO'!I27*$K$8)/$K$17</f>
        <v>0.58</v>
      </c>
      <c r="J26" s="206" t="s">
        <v>45</v>
      </c>
      <c r="K26" s="212">
        <f t="shared" si="2"/>
        <v>2694453</v>
      </c>
      <c r="L26" s="10"/>
    </row>
    <row r="27" spans="1:12" ht="13.5" thickBot="1">
      <c r="A27" s="10"/>
      <c r="B27" s="27">
        <v>26</v>
      </c>
      <c r="C27" s="81" t="s">
        <v>21</v>
      </c>
      <c r="D27" s="86"/>
      <c r="E27" s="82"/>
      <c r="F27" s="346">
        <f>IF($I$27=0,0,SUMPRODUCT(F6:F26,$I$6:$I$26,$K$6:$K$26)/($I$27*$K$27))</f>
        <v>0.6166099636203372</v>
      </c>
      <c r="G27" s="346">
        <f aca="true" t="shared" si="3" ref="G27:H27">IF($I$27=0,0,SUMPRODUCT(G6:G26,$I$6:$I$26,$K$6:$K$26)/($I$27*$K$27))</f>
        <v>0.3516882892975492</v>
      </c>
      <c r="H27" s="346">
        <f t="shared" si="3"/>
        <v>0.03170174708211381</v>
      </c>
      <c r="I27" s="328">
        <f>SUM(I9:I26)+(K6*I6+K7*I7+K8*I8)/K17</f>
        <v>28.32872263076923</v>
      </c>
      <c r="J27" s="207"/>
      <c r="K27" s="214">
        <f>K17</f>
        <v>2694453</v>
      </c>
      <c r="L27" s="10"/>
    </row>
    <row r="28" spans="1:12" ht="12.75">
      <c r="A28" s="10"/>
      <c r="B28" s="83">
        <v>97</v>
      </c>
      <c r="C28" s="84" t="s">
        <v>83</v>
      </c>
      <c r="D28" s="80"/>
      <c r="E28" s="85"/>
      <c r="F28" s="235">
        <f>ROUND('NASTAVENI ZADAVATELE'!G56,2)</f>
        <v>0</v>
      </c>
      <c r="G28" s="235">
        <f>ROUND('NASTAVENI ZADAVATELE'!H56,2)</f>
        <v>1</v>
      </c>
      <c r="H28" s="235">
        <f aca="true" t="shared" si="4" ref="H28:H29">100%-F28-G28</f>
        <v>0</v>
      </c>
      <c r="I28" s="209">
        <f>('Cenova nabidka NAFTA'!I29*$K$6+'Cenova nabidka CNG'!I29*$K$7+'Cenova nabidka ELEKTRO'!I29*$K$8)/$K$17</f>
        <v>0</v>
      </c>
      <c r="J28" s="205" t="s">
        <v>45</v>
      </c>
      <c r="K28" s="212">
        <f>$K$17</f>
        <v>2694453</v>
      </c>
      <c r="L28" s="10"/>
    </row>
    <row r="29" spans="1:12" ht="12.75">
      <c r="A29" s="10"/>
      <c r="B29" s="45">
        <v>98</v>
      </c>
      <c r="C29" s="47" t="s">
        <v>44</v>
      </c>
      <c r="D29" s="28"/>
      <c r="E29" s="48"/>
      <c r="F29" s="36">
        <f>ROUND('NABIDKA DOPRAVCE'!G34,2)</f>
        <v>1</v>
      </c>
      <c r="G29" s="36">
        <f>ROUND('NABIDKA DOPRAVCE'!H34,2)</f>
        <v>0</v>
      </c>
      <c r="H29" s="36">
        <f t="shared" si="4"/>
        <v>0</v>
      </c>
      <c r="I29" s="192">
        <f>('Cenova nabidka NAFTA'!I30*$K$6+'Cenova nabidka CNG'!I30*$K$7+'Cenova nabidka ELEKTRO'!I30*$K$8)/$K$17</f>
        <v>0.09999999999999999</v>
      </c>
      <c r="J29" s="205" t="s">
        <v>45</v>
      </c>
      <c r="K29" s="213">
        <f>$K$17</f>
        <v>2694453</v>
      </c>
      <c r="L29" s="10"/>
    </row>
    <row r="30" spans="1:12" ht="12.75">
      <c r="A30" s="10"/>
      <c r="B30" s="334">
        <v>99</v>
      </c>
      <c r="C30" s="194" t="s">
        <v>226</v>
      </c>
      <c r="D30" s="99"/>
      <c r="E30" s="100"/>
      <c r="F30" s="36">
        <f>ROUND('NABIDKA DOPRAVCE'!G35,2)</f>
        <v>1</v>
      </c>
      <c r="G30" s="36">
        <f>ROUND('NABIDKA DOPRAVCE'!H35,2)</f>
        <v>0</v>
      </c>
      <c r="H30" s="36">
        <f aca="true" t="shared" si="5" ref="H30">100%-F30-G30</f>
        <v>0</v>
      </c>
      <c r="I30" s="192">
        <f>('Cenova nabidka NAFTA'!I31*$K$6+'Cenova nabidka CNG'!I31*$K$7+'Cenova nabidka ELEKTRO'!I31*$K$8)/$K$17</f>
        <v>1.1</v>
      </c>
      <c r="J30" s="205" t="s">
        <v>45</v>
      </c>
      <c r="K30" s="212">
        <f>$K$17</f>
        <v>2694453</v>
      </c>
      <c r="L30" s="10"/>
    </row>
    <row r="31" spans="1:12" ht="13.5" thickBot="1">
      <c r="A31" s="10"/>
      <c r="B31" s="46"/>
      <c r="C31" s="81" t="s">
        <v>46</v>
      </c>
      <c r="D31" s="29"/>
      <c r="E31" s="82"/>
      <c r="F31" s="346">
        <f>IF(OR($I$31=0,$I$27=0),0,(F27*$I$27+SUMPRODUCT(F28:F30,$I$28:$I$30))/$I$31)</f>
        <v>0.6321903207325745</v>
      </c>
      <c r="G31" s="346">
        <f aca="true" t="shared" si="6" ref="G31:H31">IF(OR($I$31=0,$I$27=0),0,(G27*$I$27+SUMPRODUCT(G28:G30,$I$28:$I$30))/$I$31)</f>
        <v>0.3373962404191021</v>
      </c>
      <c r="H31" s="346">
        <f t="shared" si="6"/>
        <v>0.030413438848323284</v>
      </c>
      <c r="I31" s="328">
        <f>SUM(I27:I30)</f>
        <v>29.528722630769234</v>
      </c>
      <c r="J31" s="208" t="s">
        <v>45</v>
      </c>
      <c r="K31" s="215">
        <f>$K$17</f>
        <v>2694453</v>
      </c>
      <c r="L31" s="10"/>
    </row>
    <row r="32" spans="1:12" ht="12.75">
      <c r="A32" s="10"/>
      <c r="B32" s="10"/>
      <c r="C32" s="10"/>
      <c r="D32" s="10"/>
      <c r="E32" s="10"/>
      <c r="F32" s="30"/>
      <c r="G32" s="30"/>
      <c r="H32" s="30"/>
      <c r="I32" s="10"/>
      <c r="J32" s="10"/>
      <c r="K32" s="10"/>
      <c r="L32" s="10"/>
    </row>
    <row r="33" ht="12.75" hidden="1"/>
    <row r="34" ht="12.75" hidden="1"/>
  </sheetData>
  <sheetProtection password="EEFD" sheet="1" scenarios="1" formatRows="0"/>
  <mergeCells count="2">
    <mergeCell ref="J4:K4"/>
    <mergeCell ref="J5:K5"/>
  </mergeCells>
  <conditionalFormatting sqref="I6:I26 I28:I30">
    <cfRule type="expression" priority="64" dxfId="5">
      <formula>'Cenova nabidka ELEKTRO'!$K$32&gt;'NASTAVENI ZADAVATELE'!#REF!</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1"/>
  <headerFooter>
    <oddHeader>&amp;C&amp;F</oddHead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64">
            <xm:f>'Cenova nabidka ELEKTRO'!$K$32&gt;'NASTAVENI ZADAVATELE'!#REF!</xm:f>
            <x14:dxf>
              <fill>
                <patternFill>
                  <bgColor rgb="FFFF0000"/>
                </patternFill>
              </fill>
            </x14:dxf>
          </x14:cfRule>
          <xm:sqref>I6:I26 I28:I30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2"/>
  <sheetViews>
    <sheetView zoomScaleSheetLayoutView="100" workbookViewId="0" topLeftCell="A10"/>
  </sheetViews>
  <sheetFormatPr defaultColWidth="0" defaultRowHeight="0" customHeight="1" zeroHeight="1"/>
  <cols>
    <col min="1" max="1" width="4.7109375" style="9" customWidth="1"/>
    <col min="2" max="2" width="6.7109375" style="9" customWidth="1"/>
    <col min="3" max="3" width="27.57421875" style="9" bestFit="1" customWidth="1"/>
    <col min="4" max="4" width="6.7109375" style="9" customWidth="1"/>
    <col min="5" max="5" width="18.8515625" style="9" customWidth="1"/>
    <col min="6" max="8" width="10.7109375" style="40" customWidth="1"/>
    <col min="9" max="9" width="14.7109375" style="9" customWidth="1"/>
    <col min="10" max="10" width="4.57421875" style="9" customWidth="1"/>
    <col min="11" max="11" width="16.7109375" style="9" customWidth="1"/>
    <col min="12" max="12" width="4.7109375" style="9" customWidth="1"/>
    <col min="13" max="16" width="0" style="9" hidden="1" customWidth="1"/>
    <col min="17" max="16384" width="9.140625" style="9" hidden="1" customWidth="1"/>
  </cols>
  <sheetData>
    <row r="1" spans="1:12" ht="12.75">
      <c r="A1" s="10"/>
      <c r="B1" s="10"/>
      <c r="C1" s="10"/>
      <c r="D1" s="10"/>
      <c r="E1" s="10"/>
      <c r="F1" s="30"/>
      <c r="G1" s="30"/>
      <c r="H1" s="30"/>
      <c r="I1" s="10"/>
      <c r="J1" s="10"/>
      <c r="K1" s="10"/>
      <c r="L1" s="10"/>
    </row>
    <row r="2" spans="1:12" ht="12.75">
      <c r="A2" s="10"/>
      <c r="B2" s="11" t="s">
        <v>241</v>
      </c>
      <c r="C2" s="10"/>
      <c r="D2" s="11"/>
      <c r="E2" s="10"/>
      <c r="F2" s="30"/>
      <c r="G2" s="30"/>
      <c r="H2" s="10"/>
      <c r="I2" s="10"/>
      <c r="J2" s="10"/>
      <c r="K2" s="10"/>
      <c r="L2" s="10"/>
    </row>
    <row r="3" spans="1:12" ht="13.5" thickBot="1">
      <c r="A3" s="10"/>
      <c r="B3" s="10"/>
      <c r="C3" s="10"/>
      <c r="D3" s="10"/>
      <c r="E3" s="10"/>
      <c r="F3" s="30"/>
      <c r="G3" s="30"/>
      <c r="H3" s="30"/>
      <c r="I3" s="10"/>
      <c r="J3" s="10"/>
      <c r="K3" s="10"/>
      <c r="L3" s="10"/>
    </row>
    <row r="4" spans="1:12" s="8" customFormat="1" ht="38.25" customHeight="1">
      <c r="A4" s="12"/>
      <c r="B4" s="13" t="s">
        <v>35</v>
      </c>
      <c r="C4" s="14" t="s">
        <v>36</v>
      </c>
      <c r="D4" s="14" t="s">
        <v>38</v>
      </c>
      <c r="E4" s="14" t="s">
        <v>37</v>
      </c>
      <c r="F4" s="31" t="s">
        <v>234</v>
      </c>
      <c r="G4" s="31" t="s">
        <v>102</v>
      </c>
      <c r="H4" s="231" t="s">
        <v>103</v>
      </c>
      <c r="I4" s="309" t="s">
        <v>199</v>
      </c>
      <c r="J4" s="731" t="s">
        <v>205</v>
      </c>
      <c r="K4" s="732"/>
      <c r="L4" s="12"/>
    </row>
    <row r="5" spans="1:12" s="44" customFormat="1" ht="13.5" thickBot="1">
      <c r="A5" s="41"/>
      <c r="B5" s="42"/>
      <c r="C5" s="34"/>
      <c r="D5" s="34"/>
      <c r="E5" s="34"/>
      <c r="F5" s="33" t="s">
        <v>39</v>
      </c>
      <c r="G5" s="33" t="s">
        <v>39</v>
      </c>
      <c r="H5" s="33" t="s">
        <v>39</v>
      </c>
      <c r="I5" s="34" t="s">
        <v>34</v>
      </c>
      <c r="J5" s="733" t="s">
        <v>33</v>
      </c>
      <c r="K5" s="734"/>
      <c r="L5" s="41"/>
    </row>
    <row r="6" spans="1:12" ht="13.5" thickTop="1">
      <c r="A6" s="10"/>
      <c r="B6" s="15">
        <v>11</v>
      </c>
      <c r="C6" s="16" t="s">
        <v>124</v>
      </c>
      <c r="D6" s="17" t="s">
        <v>22</v>
      </c>
      <c r="E6" s="18" t="s">
        <v>119</v>
      </c>
      <c r="F6" s="36">
        <f>'Cenova nabidka CELKOVA'!F6</f>
        <v>1</v>
      </c>
      <c r="G6" s="36">
        <f>'Cenova nabidka CELKOVA'!G6</f>
        <v>0</v>
      </c>
      <c r="H6" s="36">
        <f>'Cenova nabidka CELKOVA'!H6</f>
        <v>0</v>
      </c>
      <c r="I6" s="209">
        <f>'Cenova nabidka CELKOVA'!I6*('Cenova nabidka PREPOCTENA'!F6+'Cenova nabidka PREPOCTENA'!G6*1/(1+SnV)*IF(NaPoVo=0,0,sPV/NaPoVo)+'Cenova nabidka PREPOCTENA'!H6*1/(1+SnV))</f>
        <v>0</v>
      </c>
      <c r="J6" s="203"/>
      <c r="K6" s="210">
        <f>'Cenova nabidka CELKOVA'!K6*(1+SnV)</f>
        <v>0</v>
      </c>
      <c r="L6" s="10"/>
    </row>
    <row r="7" spans="1:12" ht="12.75">
      <c r="A7" s="10"/>
      <c r="B7" s="19"/>
      <c r="C7" s="20"/>
      <c r="D7" s="21" t="s">
        <v>23</v>
      </c>
      <c r="E7" s="22" t="s">
        <v>108</v>
      </c>
      <c r="F7" s="36">
        <f>'Cenova nabidka CELKOVA'!F7</f>
        <v>1</v>
      </c>
      <c r="G7" s="36">
        <f>'Cenova nabidka CELKOVA'!G7</f>
        <v>0</v>
      </c>
      <c r="H7" s="36">
        <f>'Cenova nabidka CELKOVA'!H7</f>
        <v>0</v>
      </c>
      <c r="I7" s="209">
        <f>'Cenova nabidka CELKOVA'!I7*('Cenova nabidka PREPOCTENA'!F7+'Cenova nabidka PREPOCTENA'!G7*1/(1+SnV)*IF(NaPoVo=0,0,sPV/NaPoVo)+'Cenova nabidka PREPOCTENA'!H7*1/(1+SnV))</f>
        <v>6.703722630769232</v>
      </c>
      <c r="J7" s="204"/>
      <c r="K7" s="211">
        <f>'Cenova nabidka CELKOVA'!K7*(1+SnV)</f>
        <v>2425007.7</v>
      </c>
      <c r="L7" s="10"/>
    </row>
    <row r="8" spans="1:12" ht="12.75">
      <c r="A8" s="10"/>
      <c r="B8" s="19"/>
      <c r="C8" s="20"/>
      <c r="D8" s="21" t="s">
        <v>24</v>
      </c>
      <c r="E8" s="22" t="s">
        <v>260</v>
      </c>
      <c r="F8" s="36">
        <f>'Cenova nabidka CELKOVA'!F8</f>
        <v>1</v>
      </c>
      <c r="G8" s="36">
        <f>'Cenova nabidka CELKOVA'!G8</f>
        <v>0</v>
      </c>
      <c r="H8" s="36">
        <f>'Cenova nabidka CELKOVA'!H8</f>
        <v>0</v>
      </c>
      <c r="I8" s="209">
        <f>'Cenova nabidka CELKOVA'!I8*('Cenova nabidka PREPOCTENA'!F8+'Cenova nabidka PREPOCTENA'!G8*1/(1+SnV)*IF(NaPoVo=0,0,sPV/NaPoVo)+'Cenova nabidka PREPOCTENA'!H8*1/(1+SnV))</f>
        <v>0</v>
      </c>
      <c r="J8" s="204"/>
      <c r="K8" s="211">
        <f>'Cenova nabidka CELKOVA'!K8*(1+SnV)</f>
        <v>0</v>
      </c>
      <c r="L8" s="10"/>
    </row>
    <row r="9" spans="1:12" ht="12.75">
      <c r="A9" s="10"/>
      <c r="B9" s="23"/>
      <c r="C9" s="18"/>
      <c r="D9" s="21" t="s">
        <v>123</v>
      </c>
      <c r="E9" s="22" t="s">
        <v>25</v>
      </c>
      <c r="F9" s="36">
        <f>'Cenova nabidka CELKOVA'!F9</f>
        <v>1</v>
      </c>
      <c r="G9" s="36">
        <f>'Cenova nabidka CELKOVA'!G9</f>
        <v>0</v>
      </c>
      <c r="H9" s="36">
        <f>'Cenova nabidka CELKOVA'!H9</f>
        <v>0</v>
      </c>
      <c r="I9" s="209">
        <f>'Cenova nabidka CELKOVA'!I9*('Cenova nabidka PREPOCTENA'!F9+'Cenova nabidka PREPOCTENA'!G9*1/(1+SnV)*IF(NaPoVo=0,0,sPV/NaPoVo)+'Cenova nabidka PREPOCTENA'!H9*1/(1+SnV))</f>
        <v>0.09999999999999999</v>
      </c>
      <c r="J9" s="205" t="s">
        <v>45</v>
      </c>
      <c r="K9" s="212">
        <f aca="true" t="shared" si="0" ref="K9:K16">$K$17</f>
        <v>2425007.7</v>
      </c>
      <c r="L9" s="10"/>
    </row>
    <row r="10" spans="1:12" ht="12.75">
      <c r="A10" s="10"/>
      <c r="B10" s="24">
        <v>12</v>
      </c>
      <c r="C10" s="47" t="s">
        <v>8</v>
      </c>
      <c r="D10" s="49"/>
      <c r="E10" s="48"/>
      <c r="F10" s="36">
        <f>'Cenova nabidka CELKOVA'!F10</f>
        <v>1</v>
      </c>
      <c r="G10" s="36">
        <f>'Cenova nabidka CELKOVA'!G10</f>
        <v>0</v>
      </c>
      <c r="H10" s="36">
        <f>'Cenova nabidka CELKOVA'!H10</f>
        <v>0</v>
      </c>
      <c r="I10" s="192">
        <f>'Cenova nabidka CELKOVA'!I10*('Cenova nabidka PREPOCTENA'!F10+'Cenova nabidka PREPOCTENA'!G10*1/(1+SnV)*IF(NaPoVo=0,0,sPV/NaPoVo)+'Cenova nabidka PREPOCTENA'!H10*1/(1+SnV))</f>
        <v>0.773</v>
      </c>
      <c r="J10" s="205" t="s">
        <v>45</v>
      </c>
      <c r="K10" s="212">
        <f t="shared" si="0"/>
        <v>2425007.7</v>
      </c>
      <c r="L10" s="10"/>
    </row>
    <row r="11" spans="1:12" ht="12.75">
      <c r="A11" s="10"/>
      <c r="B11" s="24">
        <v>13</v>
      </c>
      <c r="C11" s="47" t="s">
        <v>9</v>
      </c>
      <c r="D11" s="49"/>
      <c r="E11" s="48"/>
      <c r="F11" s="36">
        <f>'Cenova nabidka CELKOVA'!F11</f>
        <v>1</v>
      </c>
      <c r="G11" s="36">
        <f>'Cenova nabidka CELKOVA'!G11</f>
        <v>0</v>
      </c>
      <c r="H11" s="36">
        <f>'Cenova nabidka CELKOVA'!H11</f>
        <v>0</v>
      </c>
      <c r="I11" s="192">
        <f>'Cenova nabidka CELKOVA'!I11*('Cenova nabidka PREPOCTENA'!F11+'Cenova nabidka PREPOCTENA'!G11*1/(1+SnV)*IF(NaPoVo=0,0,sPV/NaPoVo)+'Cenova nabidka PREPOCTENA'!H11*1/(1+SnV))</f>
        <v>2.03</v>
      </c>
      <c r="J11" s="205" t="s">
        <v>45</v>
      </c>
      <c r="K11" s="212">
        <f t="shared" si="0"/>
        <v>2425007.7</v>
      </c>
      <c r="L11" s="10"/>
    </row>
    <row r="12" spans="1:12" ht="12.75">
      <c r="A12" s="10"/>
      <c r="B12" s="25">
        <v>14</v>
      </c>
      <c r="C12" s="26" t="s">
        <v>10</v>
      </c>
      <c r="D12" s="21" t="s">
        <v>28</v>
      </c>
      <c r="E12" s="22" t="s">
        <v>26</v>
      </c>
      <c r="F12" s="36">
        <f>'Cenova nabidka CELKOVA'!F12</f>
        <v>0</v>
      </c>
      <c r="G12" s="36">
        <f>'Cenova nabidka CELKOVA'!G12</f>
        <v>1</v>
      </c>
      <c r="H12" s="36">
        <f>'Cenova nabidka CELKOVA'!H12</f>
        <v>0</v>
      </c>
      <c r="I12" s="192">
        <f>'Cenova nabidka CELKOVA'!I12*('Cenova nabidka PREPOCTENA'!F12+'Cenova nabidka PREPOCTENA'!G12*1/(1+SnV)*IF(NaPoVo=0,0,sPV/NaPoVo)+'Cenova nabidka PREPOCTENA'!H12*1/(1+SnV))</f>
        <v>7.430769230769232</v>
      </c>
      <c r="J12" s="205" t="s">
        <v>45</v>
      </c>
      <c r="K12" s="212">
        <f t="shared" si="0"/>
        <v>2425007.7</v>
      </c>
      <c r="L12" s="10"/>
    </row>
    <row r="13" spans="1:12" ht="12.75">
      <c r="A13" s="10"/>
      <c r="B13" s="23"/>
      <c r="C13" s="18"/>
      <c r="D13" s="21" t="s">
        <v>29</v>
      </c>
      <c r="E13" s="22" t="s">
        <v>25</v>
      </c>
      <c r="F13" s="36">
        <f>'Cenova nabidka CELKOVA'!F13</f>
        <v>0</v>
      </c>
      <c r="G13" s="36">
        <f>'Cenova nabidka CELKOVA'!G13</f>
        <v>0</v>
      </c>
      <c r="H13" s="36">
        <f>'Cenova nabidka CELKOVA'!H13</f>
        <v>1</v>
      </c>
      <c r="I13" s="192">
        <f>'Cenova nabidka CELKOVA'!I13*('Cenova nabidka PREPOCTENA'!F13+'Cenova nabidka PREPOCTENA'!G13*1/(1+SnV)*IF(NaPoVo=0,0,sPV/NaPoVo)+'Cenova nabidka PREPOCTENA'!H13*1/(1+SnV))</f>
        <v>0.08444444444444445</v>
      </c>
      <c r="J13" s="205" t="s">
        <v>45</v>
      </c>
      <c r="K13" s="212">
        <f t="shared" si="0"/>
        <v>2425007.7</v>
      </c>
      <c r="L13" s="10"/>
    </row>
    <row r="14" spans="1:12" ht="12.75">
      <c r="A14" s="10"/>
      <c r="B14" s="24">
        <v>15</v>
      </c>
      <c r="C14" s="47" t="s">
        <v>42</v>
      </c>
      <c r="D14" s="49"/>
      <c r="E14" s="48"/>
      <c r="F14" s="36">
        <f>'Cenova nabidka CELKOVA'!F14</f>
        <v>0</v>
      </c>
      <c r="G14" s="36">
        <f>'Cenova nabidka CELKOVA'!G14</f>
        <v>1</v>
      </c>
      <c r="H14" s="36">
        <f>'Cenova nabidka CELKOVA'!H14</f>
        <v>0</v>
      </c>
      <c r="I14" s="192">
        <f>'Cenova nabidka CELKOVA'!I14*('Cenova nabidka PREPOCTENA'!F14+'Cenova nabidka PREPOCTENA'!G14*1/(1+SnV)*IF(NaPoVo=0,0,sPV/NaPoVo)+'Cenova nabidka PREPOCTENA'!H14*1/(1+SnV))</f>
        <v>0</v>
      </c>
      <c r="J14" s="205" t="s">
        <v>45</v>
      </c>
      <c r="K14" s="212">
        <f t="shared" si="0"/>
        <v>2425007.7</v>
      </c>
      <c r="L14" s="10"/>
    </row>
    <row r="15" spans="1:12" ht="12.75">
      <c r="A15" s="10"/>
      <c r="B15" s="25">
        <v>16</v>
      </c>
      <c r="C15" s="26" t="s">
        <v>11</v>
      </c>
      <c r="D15" s="21" t="s">
        <v>30</v>
      </c>
      <c r="E15" s="22" t="s">
        <v>27</v>
      </c>
      <c r="F15" s="36">
        <f>'Cenova nabidka CELKOVA'!F15</f>
        <v>0.67</v>
      </c>
      <c r="G15" s="36">
        <f>'Cenova nabidka CELKOVA'!G15</f>
        <v>0.33</v>
      </c>
      <c r="H15" s="36">
        <f>'Cenova nabidka CELKOVA'!H15</f>
        <v>0</v>
      </c>
      <c r="I15" s="192">
        <f>'Cenova nabidka CELKOVA'!I15*('Cenova nabidka PREPOCTENA'!F15+'Cenova nabidka PREPOCTENA'!G15*1/(1+SnV)*IF(NaPoVo=0,0,sPV/NaPoVo)+'Cenova nabidka PREPOCTENA'!H15*1/(1+SnV))</f>
        <v>6.198004615384615</v>
      </c>
      <c r="J15" s="205" t="s">
        <v>45</v>
      </c>
      <c r="K15" s="212">
        <f t="shared" si="0"/>
        <v>2425007.7</v>
      </c>
      <c r="L15" s="10"/>
    </row>
    <row r="16" spans="1:12" ht="12.75">
      <c r="A16" s="10"/>
      <c r="B16" s="23"/>
      <c r="C16" s="18"/>
      <c r="D16" s="21" t="s">
        <v>31</v>
      </c>
      <c r="E16" s="22" t="s">
        <v>25</v>
      </c>
      <c r="F16" s="36">
        <f>'Cenova nabidka CELKOVA'!F16</f>
        <v>0.67</v>
      </c>
      <c r="G16" s="36">
        <f>'Cenova nabidka CELKOVA'!G16</f>
        <v>0</v>
      </c>
      <c r="H16" s="36">
        <f>'Cenova nabidka CELKOVA'!H16</f>
        <v>0.32999999999999996</v>
      </c>
      <c r="I16" s="192">
        <f>'Cenova nabidka CELKOVA'!I16*('Cenova nabidka PREPOCTENA'!F16+'Cenova nabidka PREPOCTENA'!G16*1/(1+SnV)*IF(NaPoVo=0,0,sPV/NaPoVo)+'Cenova nabidka PREPOCTENA'!H16*1/(1+SnV))</f>
        <v>0.23117666666666664</v>
      </c>
      <c r="J16" s="205" t="s">
        <v>45</v>
      </c>
      <c r="K16" s="212">
        <f t="shared" si="0"/>
        <v>2425007.7</v>
      </c>
      <c r="L16" s="10"/>
    </row>
    <row r="17" spans="1:12" ht="12.75">
      <c r="A17" s="10"/>
      <c r="B17" s="25">
        <v>17</v>
      </c>
      <c r="C17" s="26" t="s">
        <v>12</v>
      </c>
      <c r="D17" s="21" t="s">
        <v>40</v>
      </c>
      <c r="E17" s="22" t="s">
        <v>27</v>
      </c>
      <c r="F17" s="36">
        <f>'Cenova nabidka CELKOVA'!F17</f>
        <v>0.67</v>
      </c>
      <c r="G17" s="36">
        <f>'Cenova nabidka CELKOVA'!G17</f>
        <v>0.33</v>
      </c>
      <c r="H17" s="36">
        <f>'Cenova nabidka CELKOVA'!H17</f>
        <v>0</v>
      </c>
      <c r="I17" s="192">
        <f>'Cenova nabidka CELKOVA'!I17*('Cenova nabidka PREPOCTENA'!F17+'Cenova nabidka PREPOCTENA'!G17*1/(1+SnV)*IF(NaPoVo=0,0,sPV/NaPoVo)+'Cenova nabidka PREPOCTENA'!H17*1/(1+SnV))</f>
        <v>2.107684615384615</v>
      </c>
      <c r="J17" s="205" t="s">
        <v>45</v>
      </c>
      <c r="K17" s="213">
        <f>K6+K7+K8</f>
        <v>2425007.7</v>
      </c>
      <c r="L17" s="10"/>
    </row>
    <row r="18" spans="1:12" ht="12.75">
      <c r="A18" s="10"/>
      <c r="B18" s="23"/>
      <c r="C18" s="18"/>
      <c r="D18" s="21" t="s">
        <v>41</v>
      </c>
      <c r="E18" s="22" t="s">
        <v>25</v>
      </c>
      <c r="F18" s="36">
        <f>'Cenova nabidka CELKOVA'!F18</f>
        <v>0.67</v>
      </c>
      <c r="G18" s="36">
        <f>'Cenova nabidka CELKOVA'!G18</f>
        <v>0</v>
      </c>
      <c r="H18" s="36">
        <f>'Cenova nabidka CELKOVA'!H18</f>
        <v>0.32999999999999996</v>
      </c>
      <c r="I18" s="192">
        <f>'Cenova nabidka CELKOVA'!I18*('Cenova nabidka PREPOCTENA'!F18+'Cenova nabidka PREPOCTENA'!G18*1/(1+SnV)*IF(NaPoVo=0,0,sPV/NaPoVo)+'Cenova nabidka PREPOCTENA'!H18*1/(1+SnV))</f>
        <v>0.07878666666666666</v>
      </c>
      <c r="J18" s="205" t="s">
        <v>45</v>
      </c>
      <c r="K18" s="212">
        <f aca="true" t="shared" si="1" ref="K18:K26">$K$17</f>
        <v>2425007.7</v>
      </c>
      <c r="L18" s="10"/>
    </row>
    <row r="19" spans="1:12" ht="12.75">
      <c r="A19" s="10"/>
      <c r="B19" s="24">
        <v>18</v>
      </c>
      <c r="C19" s="47" t="s">
        <v>13</v>
      </c>
      <c r="D19" s="49"/>
      <c r="E19" s="48"/>
      <c r="F19" s="36">
        <f>'Cenova nabidka CELKOVA'!F19</f>
        <v>0.65</v>
      </c>
      <c r="G19" s="36">
        <f>'Cenova nabidka CELKOVA'!G19</f>
        <v>0</v>
      </c>
      <c r="H19" s="36">
        <f>'Cenova nabidka CELKOVA'!H19</f>
        <v>0.35</v>
      </c>
      <c r="I19" s="192">
        <f>'Cenova nabidka CELKOVA'!I19*('Cenova nabidka PREPOCTENA'!F19+'Cenova nabidka PREPOCTENA'!G19*1/(1+SnV)*IF(NaPoVo=0,0,sPV/NaPoVo)+'Cenova nabidka PREPOCTENA'!H19*1/(1+SnV))</f>
        <v>0.4404888888888888</v>
      </c>
      <c r="J19" s="205" t="s">
        <v>45</v>
      </c>
      <c r="K19" s="212">
        <f t="shared" si="1"/>
        <v>2425007.7</v>
      </c>
      <c r="L19" s="10"/>
    </row>
    <row r="20" spans="1:12" ht="12.75">
      <c r="A20" s="10"/>
      <c r="B20" s="24">
        <v>19</v>
      </c>
      <c r="C20" s="47" t="s">
        <v>14</v>
      </c>
      <c r="D20" s="49"/>
      <c r="E20" s="48"/>
      <c r="F20" s="36">
        <f>'Cenova nabidka CELKOVA'!F20</f>
        <v>1</v>
      </c>
      <c r="G20" s="36">
        <f>'Cenova nabidka CELKOVA'!G20</f>
        <v>0</v>
      </c>
      <c r="H20" s="36">
        <f>'Cenova nabidka CELKOVA'!H20</f>
        <v>0</v>
      </c>
      <c r="I20" s="192">
        <f>'Cenova nabidka CELKOVA'!I20*('Cenova nabidka PREPOCTENA'!F20+'Cenova nabidka PREPOCTENA'!G20*1/(1+SnV)*IF(NaPoVo=0,0,sPV/NaPoVo)+'Cenova nabidka PREPOCTENA'!H20*1/(1+SnV))</f>
        <v>0.28</v>
      </c>
      <c r="J20" s="205" t="s">
        <v>45</v>
      </c>
      <c r="K20" s="212">
        <f t="shared" si="1"/>
        <v>2425007.7</v>
      </c>
      <c r="L20" s="10"/>
    </row>
    <row r="21" spans="1:12" ht="12.75">
      <c r="A21" s="10"/>
      <c r="B21" s="24">
        <v>20</v>
      </c>
      <c r="C21" s="47" t="s">
        <v>15</v>
      </c>
      <c r="D21" s="49"/>
      <c r="E21" s="48"/>
      <c r="F21" s="36">
        <f>'Cenova nabidka CELKOVA'!F21</f>
        <v>0</v>
      </c>
      <c r="G21" s="36">
        <f>'Cenova nabidka CELKOVA'!G21</f>
        <v>1</v>
      </c>
      <c r="H21" s="36">
        <f>'Cenova nabidka CELKOVA'!H21</f>
        <v>0</v>
      </c>
      <c r="I21" s="192">
        <f>'Cenova nabidka CELKOVA'!I21*('Cenova nabidka PREPOCTENA'!F21+'Cenova nabidka PREPOCTENA'!G21*1/(1+SnV)*IF(NaPoVo=0,0,sPV/NaPoVo)+'Cenova nabidka PREPOCTENA'!H21*1/(1+SnV))</f>
        <v>0</v>
      </c>
      <c r="J21" s="205" t="s">
        <v>45</v>
      </c>
      <c r="K21" s="212">
        <f t="shared" si="1"/>
        <v>2425007.7</v>
      </c>
      <c r="L21" s="10"/>
    </row>
    <row r="22" spans="1:12" ht="12.75">
      <c r="A22" s="10"/>
      <c r="B22" s="24">
        <v>21</v>
      </c>
      <c r="C22" s="47" t="s">
        <v>16</v>
      </c>
      <c r="D22" s="49"/>
      <c r="E22" s="48"/>
      <c r="F22" s="36">
        <f>'Cenova nabidka CELKOVA'!F22</f>
        <v>1</v>
      </c>
      <c r="G22" s="36">
        <f>'Cenova nabidka CELKOVA'!G22</f>
        <v>0</v>
      </c>
      <c r="H22" s="36">
        <f>'Cenova nabidka CELKOVA'!H22</f>
        <v>0</v>
      </c>
      <c r="I22" s="192">
        <f>'Cenova nabidka CELKOVA'!I22*('Cenova nabidka PREPOCTENA'!F22+'Cenova nabidka PREPOCTENA'!G22*1/(1+SnV)*IF(NaPoVo=0,0,sPV/NaPoVo)+'Cenova nabidka PREPOCTENA'!H22*1/(1+SnV))</f>
        <v>0.032</v>
      </c>
      <c r="J22" s="205" t="s">
        <v>45</v>
      </c>
      <c r="K22" s="212">
        <f t="shared" si="1"/>
        <v>2425007.7</v>
      </c>
      <c r="L22" s="10"/>
    </row>
    <row r="23" spans="1:12" ht="12.75">
      <c r="A23" s="10"/>
      <c r="B23" s="24">
        <v>22</v>
      </c>
      <c r="C23" s="47" t="s">
        <v>17</v>
      </c>
      <c r="D23" s="49"/>
      <c r="E23" s="48"/>
      <c r="F23" s="36">
        <f>'Cenova nabidka CELKOVA'!F23</f>
        <v>0</v>
      </c>
      <c r="G23" s="36">
        <f>'Cenova nabidka CELKOVA'!G23</f>
        <v>0</v>
      </c>
      <c r="H23" s="36">
        <f>'Cenova nabidka CELKOVA'!H23</f>
        <v>1</v>
      </c>
      <c r="I23" s="192">
        <f>'Cenova nabidka CELKOVA'!I23*('Cenova nabidka PREPOCTENA'!F23+'Cenova nabidka PREPOCTENA'!G23*1/(1+SnV)*IF(NaPoVo=0,0,sPV/NaPoVo)+'Cenova nabidka PREPOCTENA'!H23*1/(1+SnV))</f>
        <v>0.2777777777777778</v>
      </c>
      <c r="J23" s="205" t="s">
        <v>45</v>
      </c>
      <c r="K23" s="212">
        <f t="shared" si="1"/>
        <v>2425007.7</v>
      </c>
      <c r="L23" s="10"/>
    </row>
    <row r="24" spans="1:12" ht="12.75">
      <c r="A24" s="10"/>
      <c r="B24" s="24">
        <v>23</v>
      </c>
      <c r="C24" s="47" t="s">
        <v>18</v>
      </c>
      <c r="D24" s="49"/>
      <c r="E24" s="48"/>
      <c r="F24" s="36">
        <f>'Cenova nabidka CELKOVA'!F24</f>
        <v>0.75</v>
      </c>
      <c r="G24" s="36">
        <f>'Cenova nabidka CELKOVA'!G24</f>
        <v>0</v>
      </c>
      <c r="H24" s="36">
        <f>'Cenova nabidka CELKOVA'!H24</f>
        <v>0.25</v>
      </c>
      <c r="I24" s="192">
        <f>'Cenova nabidka CELKOVA'!I24*('Cenova nabidka PREPOCTENA'!F24+'Cenova nabidka PREPOCTENA'!G24*1/(1+SnV)*IF(NaPoVo=0,0,sPV/NaPoVo)+'Cenova nabidka PREPOCTENA'!H24*1/(1+SnV))</f>
        <v>0.46249999999999997</v>
      </c>
      <c r="J24" s="205" t="s">
        <v>45</v>
      </c>
      <c r="K24" s="212">
        <f t="shared" si="1"/>
        <v>2425007.7</v>
      </c>
      <c r="L24" s="10"/>
    </row>
    <row r="25" spans="1:12" ht="12.75">
      <c r="A25" s="10"/>
      <c r="B25" s="24">
        <v>24</v>
      </c>
      <c r="C25" s="47" t="s">
        <v>19</v>
      </c>
      <c r="D25" s="49"/>
      <c r="E25" s="48"/>
      <c r="F25" s="36">
        <f>'Cenova nabidka CELKOVA'!F25</f>
        <v>0.75</v>
      </c>
      <c r="G25" s="36">
        <f>'Cenova nabidka CELKOVA'!G25</f>
        <v>0</v>
      </c>
      <c r="H25" s="36">
        <f>'Cenova nabidka CELKOVA'!H25</f>
        <v>0.25</v>
      </c>
      <c r="I25" s="192">
        <f>'Cenova nabidka CELKOVA'!I25*('Cenova nabidka PREPOCTENA'!F25+'Cenova nabidka PREPOCTENA'!G25*1/(1+SnV)*IF(NaPoVo=0,0,sPV/NaPoVo)+'Cenova nabidka PREPOCTENA'!H25*1/(1+SnV))</f>
        <v>0.873611111111111</v>
      </c>
      <c r="J25" s="205" t="s">
        <v>45</v>
      </c>
      <c r="K25" s="212">
        <f t="shared" si="1"/>
        <v>2425007.7</v>
      </c>
      <c r="L25" s="10"/>
    </row>
    <row r="26" spans="1:12" ht="12.75">
      <c r="A26" s="10"/>
      <c r="B26" s="24">
        <v>25</v>
      </c>
      <c r="C26" s="47" t="s">
        <v>20</v>
      </c>
      <c r="D26" s="49"/>
      <c r="E26" s="48"/>
      <c r="F26" s="36">
        <f>'Cenova nabidka CELKOVA'!F26</f>
        <v>1</v>
      </c>
      <c r="G26" s="36">
        <f>'Cenova nabidka CELKOVA'!G26</f>
        <v>0</v>
      </c>
      <c r="H26" s="36">
        <f>'Cenova nabidka CELKOVA'!H26</f>
        <v>0</v>
      </c>
      <c r="I26" s="192">
        <f>'Cenova nabidka CELKOVA'!I26*('Cenova nabidka PREPOCTENA'!F26+'Cenova nabidka PREPOCTENA'!G26*1/(1+SnV)*IF(NaPoVo=0,0,sPV/NaPoVo)+'Cenova nabidka PREPOCTENA'!H26*1/(1+SnV))</f>
        <v>0.58</v>
      </c>
      <c r="J26" s="206" t="s">
        <v>45</v>
      </c>
      <c r="K26" s="212">
        <f t="shared" si="1"/>
        <v>2425007.7</v>
      </c>
      <c r="L26" s="10"/>
    </row>
    <row r="27" spans="1:12" ht="13.5" thickBot="1">
      <c r="A27" s="10"/>
      <c r="B27" s="27">
        <v>26</v>
      </c>
      <c r="C27" s="81" t="s">
        <v>21</v>
      </c>
      <c r="D27" s="86"/>
      <c r="E27" s="82"/>
      <c r="F27" s="346">
        <f>IF($I$27=0,0,SUMPRODUCT(F6:F26,$I$6:$I$26,$K$6:$K$26)/($I$27*$K$27))</f>
        <v>0.6121751281961252</v>
      </c>
      <c r="G27" s="346">
        <f aca="true" t="shared" si="2" ref="G27:H27">IF($I$27=0,0,SUMPRODUCT(G6:G26,$I$6:$I$26,$K$6:$K$26)/($I$27*$K$27))</f>
        <v>0.3546108807681518</v>
      </c>
      <c r="H27" s="346">
        <f t="shared" si="2"/>
        <v>0.03321399103572313</v>
      </c>
      <c r="I27" s="328">
        <f>SUM(I9:I26)+(K6*I6+K7*I7+K8*I8)/K17</f>
        <v>28.683966647863247</v>
      </c>
      <c r="J27" s="207"/>
      <c r="K27" s="214">
        <f>K17</f>
        <v>2425007.7</v>
      </c>
      <c r="L27" s="10"/>
    </row>
    <row r="28" spans="1:12" ht="12.75">
      <c r="A28" s="10"/>
      <c r="B28" s="83">
        <v>97</v>
      </c>
      <c r="C28" s="84" t="s">
        <v>83</v>
      </c>
      <c r="D28" s="80"/>
      <c r="E28" s="85"/>
      <c r="F28" s="36">
        <f>'Cenova nabidka CELKOVA'!F28</f>
        <v>0</v>
      </c>
      <c r="G28" s="36">
        <f>'Cenova nabidka CELKOVA'!G28</f>
        <v>1</v>
      </c>
      <c r="H28" s="36">
        <f>'Cenova nabidka CELKOVA'!H28</f>
        <v>0</v>
      </c>
      <c r="I28" s="209">
        <f>'Cenova nabidka CELKOVA'!I28*('Cenova nabidka PREPOCTENA'!F28+'Cenova nabidka PREPOCTENA'!G28*1/(1+SnV)*IF(NaPoVo=0,0,sPV/NaPoVo)+'Cenova nabidka PREPOCTENA'!H28*1/(1+SnV))</f>
        <v>0</v>
      </c>
      <c r="J28" s="205" t="s">
        <v>45</v>
      </c>
      <c r="K28" s="212">
        <f>$K$17</f>
        <v>2425007.7</v>
      </c>
      <c r="L28" s="10"/>
    </row>
    <row r="29" spans="1:12" ht="12.75">
      <c r="A29" s="10"/>
      <c r="B29" s="45">
        <v>98</v>
      </c>
      <c r="C29" s="47" t="s">
        <v>44</v>
      </c>
      <c r="D29" s="28"/>
      <c r="E29" s="48"/>
      <c r="F29" s="36">
        <f>'Cenova nabidka CELKOVA'!F29</f>
        <v>1</v>
      </c>
      <c r="G29" s="36">
        <f>'Cenova nabidka CELKOVA'!G29</f>
        <v>0</v>
      </c>
      <c r="H29" s="36">
        <f>'Cenova nabidka CELKOVA'!H29</f>
        <v>0</v>
      </c>
      <c r="I29" s="192">
        <f>'Cenova nabidka CELKOVA'!I29*('Cenova nabidka PREPOCTENA'!F29+'Cenova nabidka PREPOCTENA'!G29*1/(1+SnV)*IF(NaPoVo=0,0,sPV/NaPoVo)+'Cenova nabidka PREPOCTENA'!H29*1/(1+SnV))</f>
        <v>0.09999999999999999</v>
      </c>
      <c r="J29" s="205" t="s">
        <v>45</v>
      </c>
      <c r="K29" s="213">
        <f>$K$17</f>
        <v>2425007.7</v>
      </c>
      <c r="L29" s="10"/>
    </row>
    <row r="30" spans="1:12" ht="12.75">
      <c r="A30" s="10"/>
      <c r="B30" s="334">
        <v>99</v>
      </c>
      <c r="C30" s="194" t="s">
        <v>226</v>
      </c>
      <c r="D30" s="99"/>
      <c r="E30" s="100"/>
      <c r="F30" s="36">
        <f>'Cenova nabidka CELKOVA'!F30</f>
        <v>1</v>
      </c>
      <c r="G30" s="36">
        <f>'Cenova nabidka CELKOVA'!G30</f>
        <v>0</v>
      </c>
      <c r="H30" s="36">
        <f>'Cenova nabidka CELKOVA'!H30</f>
        <v>0</v>
      </c>
      <c r="I30" s="192">
        <f>'Cenova nabidka CELKOVA'!I30*('Cenova nabidka PREPOCTENA'!F30+'Cenova nabidka PREPOCTENA'!G30*1/(1+SnV)*IF(NaPoVo=0,0,sPV/NaPoVo)+'Cenova nabidka PREPOCTENA'!H30*1/(1+SnV))</f>
        <v>1.1</v>
      </c>
      <c r="J30" s="205" t="s">
        <v>45</v>
      </c>
      <c r="K30" s="212">
        <f>$K$17</f>
        <v>2425007.7</v>
      </c>
      <c r="L30" s="10"/>
    </row>
    <row r="31" spans="1:12" ht="13.5" thickBot="1">
      <c r="A31" s="10"/>
      <c r="B31" s="46"/>
      <c r="C31" s="81" t="s">
        <v>46</v>
      </c>
      <c r="D31" s="29"/>
      <c r="E31" s="82"/>
      <c r="F31" s="346">
        <f>IF(OR($I$31=0,$I$27=0),0,(F27*$I$27+SUMPRODUCT(F28:F30,$I$28:$I$30))/$I$31)</f>
        <v>0.627748356865818</v>
      </c>
      <c r="G31" s="346">
        <f aca="true" t="shared" si="3" ref="G31:H31">IF(OR($I$31=0,$I$27=0),0,(G27*$I$27+SUMPRODUCT(G28:G30,$I$28:$I$30))/$I$31)</f>
        <v>0.34037137026621483</v>
      </c>
      <c r="H31" s="346">
        <f t="shared" si="3"/>
        <v>0.03188027286796719</v>
      </c>
      <c r="I31" s="328">
        <f>SUM(I27:I30)</f>
        <v>29.88396664786325</v>
      </c>
      <c r="J31" s="208" t="s">
        <v>45</v>
      </c>
      <c r="K31" s="215">
        <f>$K$17</f>
        <v>2425007.7</v>
      </c>
      <c r="L31" s="10"/>
    </row>
    <row r="32" spans="1:12" ht="12.75">
      <c r="A32" s="10"/>
      <c r="B32" s="10"/>
      <c r="C32" s="10"/>
      <c r="D32" s="10"/>
      <c r="E32" s="10"/>
      <c r="F32" s="30"/>
      <c r="G32" s="30"/>
      <c r="H32" s="30"/>
      <c r="I32" s="10"/>
      <c r="J32" s="10"/>
      <c r="K32" s="10"/>
      <c r="L32" s="10"/>
    </row>
    <row r="33" ht="12.75" hidden="1"/>
    <row r="34" ht="12.75" hidden="1"/>
  </sheetData>
  <sheetProtection password="EEFD" sheet="1" scenarios="1" formatRows="0"/>
  <mergeCells count="2">
    <mergeCell ref="J4:K4"/>
    <mergeCell ref="J5:K5"/>
  </mergeCells>
  <conditionalFormatting sqref="I6:I26 I28:I30">
    <cfRule type="expression" priority="65" dxfId="5">
      <formula>'Cenova nabidka ELEKTRO'!$K$32&gt;'NASTAVENI ZADAVATELE'!#REF!</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1"/>
  <headerFooter>
    <oddHeader>&amp;C&amp;F</oddHead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65">
            <xm:f>'Cenova nabidka ELEKTRO'!$K$32&gt;'NASTAVENI ZADAVATELE'!#REF!</xm:f>
            <x14:dxf>
              <fill>
                <patternFill>
                  <bgColor rgb="FFFF0000"/>
                </patternFill>
              </fill>
            </x14:dxf>
          </x14:cfRule>
          <xm:sqref>I6:I26 I28:I30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Y38"/>
  <sheetViews>
    <sheetView zoomScaleSheetLayoutView="70" workbookViewId="0" topLeftCell="A1">
      <selection activeCell="I32" sqref="I32"/>
    </sheetView>
  </sheetViews>
  <sheetFormatPr defaultColWidth="0" defaultRowHeight="12.75" zeroHeight="1"/>
  <cols>
    <col min="1" max="1" width="4.7109375" style="9" customWidth="1"/>
    <col min="2" max="2" width="6.7109375" style="9" customWidth="1"/>
    <col min="3" max="3" width="27.57421875" style="9" bestFit="1" customWidth="1"/>
    <col min="4" max="4" width="6.7109375" style="9" customWidth="1"/>
    <col min="5" max="5" width="18.8515625" style="9" customWidth="1"/>
    <col min="6" max="8" width="10.7109375" style="40" customWidth="1"/>
    <col min="9" max="9" width="14.7109375" style="9" customWidth="1"/>
    <col min="10" max="11" width="4.7109375" style="140" customWidth="1"/>
    <col min="12" max="12" width="16.7109375" style="9" customWidth="1"/>
    <col min="13" max="13" width="4.57421875" style="9" customWidth="1"/>
    <col min="14" max="23" width="16.7109375" style="9" customWidth="1"/>
    <col min="24" max="25" width="4.7109375" style="9" customWidth="1"/>
    <col min="26" max="26" width="0" style="9" hidden="1" customWidth="1"/>
    <col min="27" max="16384" width="9.140625" style="9" hidden="1" customWidth="1"/>
  </cols>
  <sheetData>
    <row r="1" spans="1:25" ht="12.75">
      <c r="A1" s="10"/>
      <c r="B1" s="10"/>
      <c r="C1" s="10"/>
      <c r="D1" s="10"/>
      <c r="E1" s="10"/>
      <c r="F1" s="30"/>
      <c r="G1" s="30"/>
      <c r="H1" s="30"/>
      <c r="I1" s="10"/>
      <c r="J1" s="54"/>
      <c r="K1" s="54"/>
      <c r="L1" s="10"/>
      <c r="M1" s="10"/>
      <c r="N1" s="10"/>
      <c r="O1" s="10"/>
      <c r="P1" s="10"/>
      <c r="Q1" s="10"/>
      <c r="R1" s="10"/>
      <c r="S1" s="10"/>
      <c r="T1" s="10"/>
      <c r="U1" s="10"/>
      <c r="V1" s="10"/>
      <c r="W1" s="10"/>
      <c r="X1" s="10"/>
      <c r="Y1" s="10"/>
    </row>
    <row r="2" spans="1:25" ht="12.75">
      <c r="A2" s="10"/>
      <c r="B2" s="11" t="s">
        <v>104</v>
      </c>
      <c r="C2" s="10"/>
      <c r="D2" s="11" t="s">
        <v>105</v>
      </c>
      <c r="E2" s="10"/>
      <c r="F2" s="30"/>
      <c r="G2" s="30"/>
      <c r="H2" s="30"/>
      <c r="I2" s="10"/>
      <c r="J2" s="54"/>
      <c r="K2" s="146"/>
      <c r="L2" s="147"/>
      <c r="M2" s="147"/>
      <c r="N2" s="147"/>
      <c r="O2" s="147"/>
      <c r="P2" s="147"/>
      <c r="Q2" s="147"/>
      <c r="R2" s="147"/>
      <c r="S2" s="147"/>
      <c r="T2" s="147"/>
      <c r="U2" s="147"/>
      <c r="V2" s="147"/>
      <c r="W2" s="147"/>
      <c r="X2" s="147"/>
      <c r="Y2" s="10"/>
    </row>
    <row r="3" spans="1:25" ht="12.75">
      <c r="A3" s="10"/>
      <c r="B3" s="10"/>
      <c r="C3" s="10"/>
      <c r="D3" s="10"/>
      <c r="E3" s="10"/>
      <c r="F3" s="30"/>
      <c r="G3" s="30"/>
      <c r="H3" s="30"/>
      <c r="I3" s="10"/>
      <c r="J3" s="54"/>
      <c r="K3" s="146"/>
      <c r="L3" s="148" t="s">
        <v>128</v>
      </c>
      <c r="M3" s="147"/>
      <c r="N3" s="147"/>
      <c r="O3" s="147"/>
      <c r="P3" s="147"/>
      <c r="Q3" s="147"/>
      <c r="R3" s="147"/>
      <c r="S3" s="147"/>
      <c r="T3" s="147"/>
      <c r="U3" s="147"/>
      <c r="V3" s="147"/>
      <c r="W3" s="147"/>
      <c r="X3" s="147"/>
      <c r="Y3" s="10"/>
    </row>
    <row r="4" spans="1:25" ht="13.5" thickBot="1">
      <c r="A4" s="10"/>
      <c r="B4" s="10"/>
      <c r="C4" s="10"/>
      <c r="D4" s="10"/>
      <c r="E4" s="10"/>
      <c r="F4" s="30"/>
      <c r="G4" s="30"/>
      <c r="H4" s="30"/>
      <c r="I4" s="10"/>
      <c r="J4" s="54"/>
      <c r="K4" s="146"/>
      <c r="L4" s="147"/>
      <c r="M4" s="147"/>
      <c r="N4" s="147"/>
      <c r="O4" s="147"/>
      <c r="P4" s="147"/>
      <c r="Q4" s="147"/>
      <c r="R4" s="147"/>
      <c r="S4" s="147"/>
      <c r="T4" s="147"/>
      <c r="U4" s="147"/>
      <c r="V4" s="147"/>
      <c r="W4" s="147"/>
      <c r="X4" s="147"/>
      <c r="Y4" s="10"/>
    </row>
    <row r="5" spans="1:25" s="8" customFormat="1" ht="38.25">
      <c r="A5" s="12"/>
      <c r="B5" s="13" t="s">
        <v>35</v>
      </c>
      <c r="C5" s="14" t="s">
        <v>36</v>
      </c>
      <c r="D5" s="14" t="s">
        <v>38</v>
      </c>
      <c r="E5" s="14" t="s">
        <v>37</v>
      </c>
      <c r="F5" s="32" t="s">
        <v>234</v>
      </c>
      <c r="G5" s="32" t="s">
        <v>102</v>
      </c>
      <c r="H5" s="32" t="s">
        <v>103</v>
      </c>
      <c r="I5" s="142" t="s">
        <v>199</v>
      </c>
      <c r="J5" s="143"/>
      <c r="K5" s="149"/>
      <c r="L5" s="150" t="s">
        <v>129</v>
      </c>
      <c r="M5" s="147"/>
      <c r="N5" s="151" t="str">
        <f>"Dopravní rok "&amp;'Technicke hodnoceni'!D17</f>
        <v>Dopravní rok 1</v>
      </c>
      <c r="O5" s="152" t="str">
        <f>"Dopravní rok "&amp;'Technicke hodnoceni'!E17</f>
        <v>Dopravní rok 2</v>
      </c>
      <c r="P5" s="152" t="str">
        <f>"Dopravní rok "&amp;'Technicke hodnoceni'!F17</f>
        <v>Dopravní rok 3</v>
      </c>
      <c r="Q5" s="152" t="str">
        <f>"Dopravní rok "&amp;'Technicke hodnoceni'!G17</f>
        <v>Dopravní rok 4</v>
      </c>
      <c r="R5" s="152" t="str">
        <f>"Dopravní rok "&amp;'Technicke hodnoceni'!H17</f>
        <v>Dopravní rok 5</v>
      </c>
      <c r="S5" s="152" t="str">
        <f>"Dopravní rok "&amp;'Technicke hodnoceni'!I17</f>
        <v>Dopravní rok 6</v>
      </c>
      <c r="T5" s="152" t="str">
        <f>"Dopravní rok "&amp;'Technicke hodnoceni'!J17</f>
        <v>Dopravní rok 7</v>
      </c>
      <c r="U5" s="152" t="str">
        <f>"Dopravní rok "&amp;'Technicke hodnoceni'!K17</f>
        <v>Dopravní rok 8</v>
      </c>
      <c r="V5" s="152" t="str">
        <f>"Dopravní rok "&amp;'Technicke hodnoceni'!L17</f>
        <v>Dopravní rok 9</v>
      </c>
      <c r="W5" s="153" t="str">
        <f>"Dopravní rok "&amp;'Technicke hodnoceni'!M17</f>
        <v>Dopravní rok 10</v>
      </c>
      <c r="X5" s="154"/>
      <c r="Y5" s="12"/>
    </row>
    <row r="6" spans="1:25" s="44" customFormat="1" ht="13.5" thickBot="1">
      <c r="A6" s="41"/>
      <c r="B6" s="42"/>
      <c r="C6" s="34"/>
      <c r="D6" s="34"/>
      <c r="E6" s="34"/>
      <c r="F6" s="34" t="s">
        <v>39</v>
      </c>
      <c r="G6" s="34" t="s">
        <v>39</v>
      </c>
      <c r="H6" s="34" t="s">
        <v>39</v>
      </c>
      <c r="I6" s="43" t="s">
        <v>34</v>
      </c>
      <c r="J6" s="137"/>
      <c r="K6" s="155"/>
      <c r="L6" s="156" t="s">
        <v>32</v>
      </c>
      <c r="M6" s="147"/>
      <c r="N6" s="157" t="s">
        <v>32</v>
      </c>
      <c r="O6" s="158" t="s">
        <v>32</v>
      </c>
      <c r="P6" s="158" t="s">
        <v>32</v>
      </c>
      <c r="Q6" s="158" t="s">
        <v>32</v>
      </c>
      <c r="R6" s="158" t="s">
        <v>32</v>
      </c>
      <c r="S6" s="158" t="s">
        <v>32</v>
      </c>
      <c r="T6" s="158" t="s">
        <v>32</v>
      </c>
      <c r="U6" s="158" t="s">
        <v>32</v>
      </c>
      <c r="V6" s="158" t="s">
        <v>32</v>
      </c>
      <c r="W6" s="159" t="s">
        <v>32</v>
      </c>
      <c r="X6" s="160"/>
      <c r="Y6" s="41"/>
    </row>
    <row r="7" spans="1:25" ht="13.5" thickTop="1">
      <c r="A7" s="10"/>
      <c r="B7" s="15">
        <v>11</v>
      </c>
      <c r="C7" s="16" t="s">
        <v>124</v>
      </c>
      <c r="D7" s="17" t="s">
        <v>22</v>
      </c>
      <c r="E7" s="18" t="s">
        <v>119</v>
      </c>
      <c r="F7" s="35">
        <f>'Cenova nabidka CELKOVA'!F6</f>
        <v>1</v>
      </c>
      <c r="G7" s="35">
        <f>'Cenova nabidka CELKOVA'!G6</f>
        <v>0</v>
      </c>
      <c r="H7" s="35">
        <f>100%-F7-G7</f>
        <v>0</v>
      </c>
      <c r="I7" s="239">
        <f>ROUND('NABIDKA DOPRAVCE'!J11,3)</f>
        <v>0</v>
      </c>
      <c r="J7" s="138"/>
      <c r="K7" s="161"/>
      <c r="L7" s="162">
        <f>$I7*L$34</f>
        <v>0</v>
      </c>
      <c r="M7" s="147"/>
      <c r="N7" s="163">
        <f>$I7*N$34</f>
        <v>0</v>
      </c>
      <c r="O7" s="164">
        <f aca="true" t="shared" si="0" ref="O7:W7">$I7*O$34</f>
        <v>0</v>
      </c>
      <c r="P7" s="164">
        <f t="shared" si="0"/>
        <v>0</v>
      </c>
      <c r="Q7" s="164">
        <f t="shared" si="0"/>
        <v>0</v>
      </c>
      <c r="R7" s="164">
        <f t="shared" si="0"/>
        <v>0</v>
      </c>
      <c r="S7" s="164">
        <f t="shared" si="0"/>
        <v>0</v>
      </c>
      <c r="T7" s="164">
        <f t="shared" si="0"/>
        <v>0</v>
      </c>
      <c r="U7" s="164">
        <f t="shared" si="0"/>
        <v>0</v>
      </c>
      <c r="V7" s="164">
        <f t="shared" si="0"/>
        <v>0</v>
      </c>
      <c r="W7" s="165">
        <f t="shared" si="0"/>
        <v>0</v>
      </c>
      <c r="X7" s="147"/>
      <c r="Y7" s="10"/>
    </row>
    <row r="8" spans="1:25" ht="12.75">
      <c r="A8" s="10"/>
      <c r="B8" s="19"/>
      <c r="C8" s="20"/>
      <c r="D8" s="21" t="s">
        <v>23</v>
      </c>
      <c r="E8" s="22" t="s">
        <v>108</v>
      </c>
      <c r="F8" s="115"/>
      <c r="G8" s="115"/>
      <c r="H8" s="115"/>
      <c r="I8" s="240"/>
      <c r="J8" s="138"/>
      <c r="K8" s="161"/>
      <c r="L8" s="144"/>
      <c r="M8" s="147"/>
      <c r="N8" s="179"/>
      <c r="O8" s="180"/>
      <c r="P8" s="180"/>
      <c r="Q8" s="180"/>
      <c r="R8" s="180"/>
      <c r="S8" s="180"/>
      <c r="T8" s="180"/>
      <c r="U8" s="180"/>
      <c r="V8" s="180"/>
      <c r="W8" s="181"/>
      <c r="X8" s="147"/>
      <c r="Y8" s="10"/>
    </row>
    <row r="9" spans="1:25" ht="12.75">
      <c r="A9" s="10"/>
      <c r="B9" s="19"/>
      <c r="C9" s="20"/>
      <c r="D9" s="21" t="s">
        <v>24</v>
      </c>
      <c r="E9" s="22" t="s">
        <v>260</v>
      </c>
      <c r="F9" s="115"/>
      <c r="G9" s="115"/>
      <c r="H9" s="115"/>
      <c r="I9" s="240"/>
      <c r="J9" s="138"/>
      <c r="K9" s="161"/>
      <c r="L9" s="144"/>
      <c r="M9" s="147"/>
      <c r="N9" s="179"/>
      <c r="O9" s="180"/>
      <c r="P9" s="180"/>
      <c r="Q9" s="180"/>
      <c r="R9" s="180"/>
      <c r="S9" s="180"/>
      <c r="T9" s="180"/>
      <c r="U9" s="180"/>
      <c r="V9" s="180"/>
      <c r="W9" s="181"/>
      <c r="X9" s="147"/>
      <c r="Y9" s="10"/>
    </row>
    <row r="10" spans="1:25" ht="12.75">
      <c r="A10" s="10"/>
      <c r="B10" s="23"/>
      <c r="C10" s="18"/>
      <c r="D10" s="21" t="s">
        <v>123</v>
      </c>
      <c r="E10" s="22" t="s">
        <v>25</v>
      </c>
      <c r="F10" s="35">
        <f>'Cenova nabidka CELKOVA'!F9</f>
        <v>1</v>
      </c>
      <c r="G10" s="35">
        <f>'Cenova nabidka CELKOVA'!G9</f>
        <v>0</v>
      </c>
      <c r="H10" s="35">
        <f aca="true" t="shared" si="1" ref="H10">100%-F10-G10</f>
        <v>0</v>
      </c>
      <c r="I10" s="241">
        <f>ROUND('NABIDKA DOPRAVCE'!J14,3)</f>
        <v>0</v>
      </c>
      <c r="J10" s="138"/>
      <c r="K10" s="161"/>
      <c r="L10" s="162">
        <f aca="true" t="shared" si="2" ref="L10:L27">$I10*L$34</f>
        <v>0</v>
      </c>
      <c r="M10" s="147"/>
      <c r="N10" s="163">
        <f aca="true" t="shared" si="3" ref="N10:W19">$I10*N$34</f>
        <v>0</v>
      </c>
      <c r="O10" s="164">
        <f t="shared" si="3"/>
        <v>0</v>
      </c>
      <c r="P10" s="164">
        <f t="shared" si="3"/>
        <v>0</v>
      </c>
      <c r="Q10" s="164">
        <f t="shared" si="3"/>
        <v>0</v>
      </c>
      <c r="R10" s="164">
        <f t="shared" si="3"/>
        <v>0</v>
      </c>
      <c r="S10" s="164">
        <f t="shared" si="3"/>
        <v>0</v>
      </c>
      <c r="T10" s="164">
        <f t="shared" si="3"/>
        <v>0</v>
      </c>
      <c r="U10" s="164">
        <f t="shared" si="3"/>
        <v>0</v>
      </c>
      <c r="V10" s="164">
        <f t="shared" si="3"/>
        <v>0</v>
      </c>
      <c r="W10" s="165">
        <f t="shared" si="3"/>
        <v>0</v>
      </c>
      <c r="X10" s="147"/>
      <c r="Y10" s="10"/>
    </row>
    <row r="11" spans="1:25" ht="12.75">
      <c r="A11" s="10"/>
      <c r="B11" s="24">
        <v>12</v>
      </c>
      <c r="C11" s="47" t="s">
        <v>8</v>
      </c>
      <c r="D11" s="49"/>
      <c r="E11" s="48"/>
      <c r="F11" s="35">
        <f>'Cenova nabidka CELKOVA'!F10</f>
        <v>1</v>
      </c>
      <c r="G11" s="35">
        <f>'Cenova nabidka CELKOVA'!G10</f>
        <v>0</v>
      </c>
      <c r="H11" s="35">
        <f aca="true" t="shared" si="4" ref="H11:H27">100%-F11-G11</f>
        <v>0</v>
      </c>
      <c r="I11" s="241">
        <f>ROUND('NABIDKA DOPRAVCE'!J15,3)</f>
        <v>0</v>
      </c>
      <c r="J11" s="138"/>
      <c r="K11" s="161"/>
      <c r="L11" s="162">
        <f t="shared" si="2"/>
        <v>0</v>
      </c>
      <c r="M11" s="147"/>
      <c r="N11" s="163">
        <f t="shared" si="3"/>
        <v>0</v>
      </c>
      <c r="O11" s="164">
        <f t="shared" si="3"/>
        <v>0</v>
      </c>
      <c r="P11" s="164">
        <f t="shared" si="3"/>
        <v>0</v>
      </c>
      <c r="Q11" s="164">
        <f t="shared" si="3"/>
        <v>0</v>
      </c>
      <c r="R11" s="164">
        <f t="shared" si="3"/>
        <v>0</v>
      </c>
      <c r="S11" s="164">
        <f t="shared" si="3"/>
        <v>0</v>
      </c>
      <c r="T11" s="164">
        <f t="shared" si="3"/>
        <v>0</v>
      </c>
      <c r="U11" s="164">
        <f t="shared" si="3"/>
        <v>0</v>
      </c>
      <c r="V11" s="164">
        <f t="shared" si="3"/>
        <v>0</v>
      </c>
      <c r="W11" s="165">
        <f t="shared" si="3"/>
        <v>0</v>
      </c>
      <c r="X11" s="147"/>
      <c r="Y11" s="10"/>
    </row>
    <row r="12" spans="1:25" ht="12.75">
      <c r="A12" s="10"/>
      <c r="B12" s="24">
        <v>13</v>
      </c>
      <c r="C12" s="47" t="s">
        <v>9</v>
      </c>
      <c r="D12" s="49"/>
      <c r="E12" s="48"/>
      <c r="F12" s="36">
        <f>'Cenova nabidka CELKOVA'!F11</f>
        <v>1</v>
      </c>
      <c r="G12" s="36">
        <f>'Cenova nabidka CELKOVA'!G11</f>
        <v>0</v>
      </c>
      <c r="H12" s="36">
        <f t="shared" si="4"/>
        <v>0</v>
      </c>
      <c r="I12" s="241">
        <f>ROUND('NABIDKA DOPRAVCE'!J16,3)</f>
        <v>0</v>
      </c>
      <c r="J12" s="138"/>
      <c r="K12" s="161"/>
      <c r="L12" s="162">
        <f t="shared" si="2"/>
        <v>0</v>
      </c>
      <c r="M12" s="147"/>
      <c r="N12" s="167">
        <f t="shared" si="3"/>
        <v>0</v>
      </c>
      <c r="O12" s="168">
        <f t="shared" si="3"/>
        <v>0</v>
      </c>
      <c r="P12" s="168">
        <f t="shared" si="3"/>
        <v>0</v>
      </c>
      <c r="Q12" s="168">
        <f t="shared" si="3"/>
        <v>0</v>
      </c>
      <c r="R12" s="168">
        <f t="shared" si="3"/>
        <v>0</v>
      </c>
      <c r="S12" s="168">
        <f t="shared" si="3"/>
        <v>0</v>
      </c>
      <c r="T12" s="168">
        <f t="shared" si="3"/>
        <v>0</v>
      </c>
      <c r="U12" s="168">
        <f t="shared" si="3"/>
        <v>0</v>
      </c>
      <c r="V12" s="168">
        <f t="shared" si="3"/>
        <v>0</v>
      </c>
      <c r="W12" s="169">
        <f t="shared" si="3"/>
        <v>0</v>
      </c>
      <c r="X12" s="147"/>
      <c r="Y12" s="10"/>
    </row>
    <row r="13" spans="1:25" ht="12.75">
      <c r="A13" s="10"/>
      <c r="B13" s="25">
        <v>14</v>
      </c>
      <c r="C13" s="26" t="s">
        <v>10</v>
      </c>
      <c r="D13" s="21" t="s">
        <v>28</v>
      </c>
      <c r="E13" s="22" t="s">
        <v>26</v>
      </c>
      <c r="F13" s="36">
        <f>'Cenova nabidka CELKOVA'!F12</f>
        <v>0</v>
      </c>
      <c r="G13" s="36">
        <f>'Cenova nabidka CELKOVA'!G12</f>
        <v>1</v>
      </c>
      <c r="H13" s="36">
        <f t="shared" si="4"/>
        <v>0</v>
      </c>
      <c r="I13" s="241">
        <f>ROUND('NABIDKA DOPRAVCE'!J17,3)</f>
        <v>0</v>
      </c>
      <c r="J13" s="138"/>
      <c r="K13" s="161"/>
      <c r="L13" s="162">
        <f t="shared" si="2"/>
        <v>0</v>
      </c>
      <c r="M13" s="147"/>
      <c r="N13" s="167">
        <f t="shared" si="3"/>
        <v>0</v>
      </c>
      <c r="O13" s="168">
        <f t="shared" si="3"/>
        <v>0</v>
      </c>
      <c r="P13" s="168">
        <f t="shared" si="3"/>
        <v>0</v>
      </c>
      <c r="Q13" s="168">
        <f t="shared" si="3"/>
        <v>0</v>
      </c>
      <c r="R13" s="168">
        <f t="shared" si="3"/>
        <v>0</v>
      </c>
      <c r="S13" s="168">
        <f t="shared" si="3"/>
        <v>0</v>
      </c>
      <c r="T13" s="168">
        <f t="shared" si="3"/>
        <v>0</v>
      </c>
      <c r="U13" s="168">
        <f t="shared" si="3"/>
        <v>0</v>
      </c>
      <c r="V13" s="168">
        <f t="shared" si="3"/>
        <v>0</v>
      </c>
      <c r="W13" s="169">
        <f t="shared" si="3"/>
        <v>0</v>
      </c>
      <c r="X13" s="147"/>
      <c r="Y13" s="10"/>
    </row>
    <row r="14" spans="1:25" ht="12.75">
      <c r="A14" s="10"/>
      <c r="B14" s="23"/>
      <c r="C14" s="18"/>
      <c r="D14" s="21" t="s">
        <v>29</v>
      </c>
      <c r="E14" s="22" t="s">
        <v>25</v>
      </c>
      <c r="F14" s="36">
        <f>'Cenova nabidka CELKOVA'!F13</f>
        <v>0</v>
      </c>
      <c r="G14" s="36">
        <f>'Cenova nabidka CELKOVA'!G13</f>
        <v>0</v>
      </c>
      <c r="H14" s="36">
        <f t="shared" si="4"/>
        <v>1</v>
      </c>
      <c r="I14" s="241">
        <f>ROUND('NABIDKA DOPRAVCE'!J18,3)</f>
        <v>0</v>
      </c>
      <c r="J14" s="138"/>
      <c r="K14" s="161"/>
      <c r="L14" s="162">
        <f t="shared" si="2"/>
        <v>0</v>
      </c>
      <c r="M14" s="147"/>
      <c r="N14" s="167">
        <f t="shared" si="3"/>
        <v>0</v>
      </c>
      <c r="O14" s="168">
        <f t="shared" si="3"/>
        <v>0</v>
      </c>
      <c r="P14" s="168">
        <f t="shared" si="3"/>
        <v>0</v>
      </c>
      <c r="Q14" s="168">
        <f t="shared" si="3"/>
        <v>0</v>
      </c>
      <c r="R14" s="168">
        <f t="shared" si="3"/>
        <v>0</v>
      </c>
      <c r="S14" s="168">
        <f t="shared" si="3"/>
        <v>0</v>
      </c>
      <c r="T14" s="168">
        <f t="shared" si="3"/>
        <v>0</v>
      </c>
      <c r="U14" s="168">
        <f t="shared" si="3"/>
        <v>0</v>
      </c>
      <c r="V14" s="168">
        <f t="shared" si="3"/>
        <v>0</v>
      </c>
      <c r="W14" s="169">
        <f t="shared" si="3"/>
        <v>0</v>
      </c>
      <c r="X14" s="147"/>
      <c r="Y14" s="10"/>
    </row>
    <row r="15" spans="1:25" ht="12.75">
      <c r="A15" s="10"/>
      <c r="B15" s="24">
        <v>15</v>
      </c>
      <c r="C15" s="47" t="s">
        <v>42</v>
      </c>
      <c r="D15" s="49"/>
      <c r="E15" s="48"/>
      <c r="F15" s="36">
        <f>'Cenova nabidka CELKOVA'!F14</f>
        <v>0</v>
      </c>
      <c r="G15" s="36">
        <f>'Cenova nabidka CELKOVA'!G14</f>
        <v>1</v>
      </c>
      <c r="H15" s="36">
        <f t="shared" si="4"/>
        <v>0</v>
      </c>
      <c r="I15" s="241">
        <f>ROUND('NABIDKA DOPRAVCE'!J19,3)</f>
        <v>0</v>
      </c>
      <c r="J15" s="138"/>
      <c r="K15" s="161"/>
      <c r="L15" s="162">
        <f t="shared" si="2"/>
        <v>0</v>
      </c>
      <c r="M15" s="147"/>
      <c r="N15" s="167">
        <f t="shared" si="3"/>
        <v>0</v>
      </c>
      <c r="O15" s="168">
        <f t="shared" si="3"/>
        <v>0</v>
      </c>
      <c r="P15" s="168">
        <f t="shared" si="3"/>
        <v>0</v>
      </c>
      <c r="Q15" s="168">
        <f t="shared" si="3"/>
        <v>0</v>
      </c>
      <c r="R15" s="168">
        <f t="shared" si="3"/>
        <v>0</v>
      </c>
      <c r="S15" s="168">
        <f t="shared" si="3"/>
        <v>0</v>
      </c>
      <c r="T15" s="168">
        <f t="shared" si="3"/>
        <v>0</v>
      </c>
      <c r="U15" s="168">
        <f t="shared" si="3"/>
        <v>0</v>
      </c>
      <c r="V15" s="168">
        <f t="shared" si="3"/>
        <v>0</v>
      </c>
      <c r="W15" s="169">
        <f t="shared" si="3"/>
        <v>0</v>
      </c>
      <c r="X15" s="147"/>
      <c r="Y15" s="10"/>
    </row>
    <row r="16" spans="1:25" ht="12.75">
      <c r="A16" s="10"/>
      <c r="B16" s="25">
        <v>16</v>
      </c>
      <c r="C16" s="26" t="s">
        <v>11</v>
      </c>
      <c r="D16" s="21" t="s">
        <v>30</v>
      </c>
      <c r="E16" s="22" t="s">
        <v>27</v>
      </c>
      <c r="F16" s="35">
        <f>'Cenova nabidka CELKOVA'!F15</f>
        <v>0.67</v>
      </c>
      <c r="G16" s="35">
        <f>'Cenova nabidka CELKOVA'!G15</f>
        <v>0.33</v>
      </c>
      <c r="H16" s="35">
        <f t="shared" si="4"/>
        <v>0</v>
      </c>
      <c r="I16" s="241">
        <f>ROUND('NABIDKA DOPRAVCE'!J20,3)</f>
        <v>0</v>
      </c>
      <c r="J16" s="138"/>
      <c r="K16" s="161"/>
      <c r="L16" s="162">
        <f t="shared" si="2"/>
        <v>0</v>
      </c>
      <c r="M16" s="147"/>
      <c r="N16" s="163">
        <f t="shared" si="3"/>
        <v>0</v>
      </c>
      <c r="O16" s="164">
        <f t="shared" si="3"/>
        <v>0</v>
      </c>
      <c r="P16" s="164">
        <f t="shared" si="3"/>
        <v>0</v>
      </c>
      <c r="Q16" s="164">
        <f t="shared" si="3"/>
        <v>0</v>
      </c>
      <c r="R16" s="164">
        <f t="shared" si="3"/>
        <v>0</v>
      </c>
      <c r="S16" s="164">
        <f t="shared" si="3"/>
        <v>0</v>
      </c>
      <c r="T16" s="164">
        <f t="shared" si="3"/>
        <v>0</v>
      </c>
      <c r="U16" s="164">
        <f t="shared" si="3"/>
        <v>0</v>
      </c>
      <c r="V16" s="164">
        <f t="shared" si="3"/>
        <v>0</v>
      </c>
      <c r="W16" s="165">
        <f t="shared" si="3"/>
        <v>0</v>
      </c>
      <c r="X16" s="147"/>
      <c r="Y16" s="10"/>
    </row>
    <row r="17" spans="1:25" ht="12.75">
      <c r="A17" s="10"/>
      <c r="B17" s="19"/>
      <c r="C17" s="20"/>
      <c r="D17" s="21" t="s">
        <v>31</v>
      </c>
      <c r="E17" s="22" t="s">
        <v>25</v>
      </c>
      <c r="F17" s="36">
        <f>'Cenova nabidka CELKOVA'!F16</f>
        <v>0.67</v>
      </c>
      <c r="G17" s="36">
        <f>'Cenova nabidka CELKOVA'!G16</f>
        <v>0</v>
      </c>
      <c r="H17" s="36">
        <f t="shared" si="4"/>
        <v>0.32999999999999996</v>
      </c>
      <c r="I17" s="241">
        <f>ROUND('NABIDKA DOPRAVCE'!J21,3)</f>
        <v>0</v>
      </c>
      <c r="J17" s="138"/>
      <c r="K17" s="161"/>
      <c r="L17" s="162">
        <f t="shared" si="2"/>
        <v>0</v>
      </c>
      <c r="M17" s="147"/>
      <c r="N17" s="167">
        <f t="shared" si="3"/>
        <v>0</v>
      </c>
      <c r="O17" s="168">
        <f t="shared" si="3"/>
        <v>0</v>
      </c>
      <c r="P17" s="168">
        <f t="shared" si="3"/>
        <v>0</v>
      </c>
      <c r="Q17" s="168">
        <f t="shared" si="3"/>
        <v>0</v>
      </c>
      <c r="R17" s="168">
        <f t="shared" si="3"/>
        <v>0</v>
      </c>
      <c r="S17" s="168">
        <f t="shared" si="3"/>
        <v>0</v>
      </c>
      <c r="T17" s="168">
        <f t="shared" si="3"/>
        <v>0</v>
      </c>
      <c r="U17" s="168">
        <f t="shared" si="3"/>
        <v>0</v>
      </c>
      <c r="V17" s="168">
        <f t="shared" si="3"/>
        <v>0</v>
      </c>
      <c r="W17" s="169">
        <f t="shared" si="3"/>
        <v>0</v>
      </c>
      <c r="X17" s="147"/>
      <c r="Y17" s="10"/>
    </row>
    <row r="18" spans="1:25" ht="12.75">
      <c r="A18" s="10"/>
      <c r="B18" s="23">
        <v>17</v>
      </c>
      <c r="C18" s="18" t="s">
        <v>12</v>
      </c>
      <c r="D18" s="21" t="s">
        <v>40</v>
      </c>
      <c r="E18" s="22" t="s">
        <v>27</v>
      </c>
      <c r="F18" s="36">
        <f>'Cenova nabidka CELKOVA'!F17</f>
        <v>0.67</v>
      </c>
      <c r="G18" s="36">
        <f>'Cenova nabidka CELKOVA'!G17</f>
        <v>0.33</v>
      </c>
      <c r="H18" s="36">
        <f t="shared" si="4"/>
        <v>0</v>
      </c>
      <c r="I18" s="241">
        <f>ROUND('NABIDKA DOPRAVCE'!J22,3)</f>
        <v>0</v>
      </c>
      <c r="J18" s="138"/>
      <c r="K18" s="161"/>
      <c r="L18" s="162">
        <f t="shared" si="2"/>
        <v>0</v>
      </c>
      <c r="M18" s="147"/>
      <c r="N18" s="167">
        <f t="shared" si="3"/>
        <v>0</v>
      </c>
      <c r="O18" s="168">
        <f t="shared" si="3"/>
        <v>0</v>
      </c>
      <c r="P18" s="168">
        <f t="shared" si="3"/>
        <v>0</v>
      </c>
      <c r="Q18" s="168">
        <f t="shared" si="3"/>
        <v>0</v>
      </c>
      <c r="R18" s="168">
        <f t="shared" si="3"/>
        <v>0</v>
      </c>
      <c r="S18" s="168">
        <f t="shared" si="3"/>
        <v>0</v>
      </c>
      <c r="T18" s="168">
        <f t="shared" si="3"/>
        <v>0</v>
      </c>
      <c r="U18" s="168">
        <f t="shared" si="3"/>
        <v>0</v>
      </c>
      <c r="V18" s="168">
        <f t="shared" si="3"/>
        <v>0</v>
      </c>
      <c r="W18" s="169">
        <f t="shared" si="3"/>
        <v>0</v>
      </c>
      <c r="X18" s="147"/>
      <c r="Y18" s="10"/>
    </row>
    <row r="19" spans="1:25" ht="12.75">
      <c r="A19" s="10"/>
      <c r="B19" s="24"/>
      <c r="C19" s="22"/>
      <c r="D19" s="21" t="s">
        <v>41</v>
      </c>
      <c r="E19" s="22" t="s">
        <v>25</v>
      </c>
      <c r="F19" s="36">
        <f>'Cenova nabidka CELKOVA'!F18</f>
        <v>0.67</v>
      </c>
      <c r="G19" s="36">
        <f>'Cenova nabidka CELKOVA'!G18</f>
        <v>0</v>
      </c>
      <c r="H19" s="36">
        <f t="shared" si="4"/>
        <v>0.32999999999999996</v>
      </c>
      <c r="I19" s="241">
        <f>ROUND('NABIDKA DOPRAVCE'!J23,3)</f>
        <v>0</v>
      </c>
      <c r="J19" s="138"/>
      <c r="K19" s="161"/>
      <c r="L19" s="162">
        <f t="shared" si="2"/>
        <v>0</v>
      </c>
      <c r="M19" s="147"/>
      <c r="N19" s="167">
        <f t="shared" si="3"/>
        <v>0</v>
      </c>
      <c r="O19" s="168">
        <f t="shared" si="3"/>
        <v>0</v>
      </c>
      <c r="P19" s="168">
        <f t="shared" si="3"/>
        <v>0</v>
      </c>
      <c r="Q19" s="168">
        <f t="shared" si="3"/>
        <v>0</v>
      </c>
      <c r="R19" s="168">
        <f t="shared" si="3"/>
        <v>0</v>
      </c>
      <c r="S19" s="168">
        <f t="shared" si="3"/>
        <v>0</v>
      </c>
      <c r="T19" s="168">
        <f t="shared" si="3"/>
        <v>0</v>
      </c>
      <c r="U19" s="168">
        <f t="shared" si="3"/>
        <v>0</v>
      </c>
      <c r="V19" s="168">
        <f t="shared" si="3"/>
        <v>0</v>
      </c>
      <c r="W19" s="169">
        <f t="shared" si="3"/>
        <v>0</v>
      </c>
      <c r="X19" s="147"/>
      <c r="Y19" s="10"/>
    </row>
    <row r="20" spans="1:25" ht="12.75">
      <c r="A20" s="10"/>
      <c r="B20" s="24">
        <v>18</v>
      </c>
      <c r="C20" s="47" t="s">
        <v>13</v>
      </c>
      <c r="D20" s="49"/>
      <c r="E20" s="48"/>
      <c r="F20" s="36">
        <f>'Cenova nabidka CELKOVA'!F19</f>
        <v>0.65</v>
      </c>
      <c r="G20" s="36">
        <f>'Cenova nabidka CELKOVA'!G19</f>
        <v>0</v>
      </c>
      <c r="H20" s="36">
        <f t="shared" si="4"/>
        <v>0.35</v>
      </c>
      <c r="I20" s="241">
        <f>ROUND('NABIDKA DOPRAVCE'!J24,3)</f>
        <v>0</v>
      </c>
      <c r="J20" s="138"/>
      <c r="K20" s="161"/>
      <c r="L20" s="162">
        <f t="shared" si="2"/>
        <v>0</v>
      </c>
      <c r="M20" s="147"/>
      <c r="N20" s="167">
        <f aca="true" t="shared" si="5" ref="N20:W27">$I20*N$34</f>
        <v>0</v>
      </c>
      <c r="O20" s="168">
        <f t="shared" si="5"/>
        <v>0</v>
      </c>
      <c r="P20" s="168">
        <f t="shared" si="5"/>
        <v>0</v>
      </c>
      <c r="Q20" s="168">
        <f t="shared" si="5"/>
        <v>0</v>
      </c>
      <c r="R20" s="168">
        <f t="shared" si="5"/>
        <v>0</v>
      </c>
      <c r="S20" s="168">
        <f t="shared" si="5"/>
        <v>0</v>
      </c>
      <c r="T20" s="168">
        <f t="shared" si="5"/>
        <v>0</v>
      </c>
      <c r="U20" s="168">
        <f t="shared" si="5"/>
        <v>0</v>
      </c>
      <c r="V20" s="168">
        <f t="shared" si="5"/>
        <v>0</v>
      </c>
      <c r="W20" s="169">
        <f t="shared" si="5"/>
        <v>0</v>
      </c>
      <c r="X20" s="147"/>
      <c r="Y20" s="10"/>
    </row>
    <row r="21" spans="1:25" ht="12.75">
      <c r="A21" s="10"/>
      <c r="B21" s="24">
        <v>19</v>
      </c>
      <c r="C21" s="47" t="s">
        <v>14</v>
      </c>
      <c r="D21" s="49"/>
      <c r="E21" s="48"/>
      <c r="F21" s="36">
        <f>'Cenova nabidka CELKOVA'!F20</f>
        <v>1</v>
      </c>
      <c r="G21" s="36">
        <f>'Cenova nabidka CELKOVA'!G20</f>
        <v>0</v>
      </c>
      <c r="H21" s="36">
        <f t="shared" si="4"/>
        <v>0</v>
      </c>
      <c r="I21" s="241">
        <f>ROUND('NABIDKA DOPRAVCE'!J25,3)</f>
        <v>0</v>
      </c>
      <c r="J21" s="138"/>
      <c r="K21" s="161"/>
      <c r="L21" s="162">
        <f t="shared" si="2"/>
        <v>0</v>
      </c>
      <c r="M21" s="147"/>
      <c r="N21" s="167">
        <f t="shared" si="5"/>
        <v>0</v>
      </c>
      <c r="O21" s="168">
        <f t="shared" si="5"/>
        <v>0</v>
      </c>
      <c r="P21" s="168">
        <f t="shared" si="5"/>
        <v>0</v>
      </c>
      <c r="Q21" s="168">
        <f t="shared" si="5"/>
        <v>0</v>
      </c>
      <c r="R21" s="168">
        <f t="shared" si="5"/>
        <v>0</v>
      </c>
      <c r="S21" s="168">
        <f t="shared" si="5"/>
        <v>0</v>
      </c>
      <c r="T21" s="168">
        <f t="shared" si="5"/>
        <v>0</v>
      </c>
      <c r="U21" s="168">
        <f t="shared" si="5"/>
        <v>0</v>
      </c>
      <c r="V21" s="168">
        <f t="shared" si="5"/>
        <v>0</v>
      </c>
      <c r="W21" s="169">
        <f t="shared" si="5"/>
        <v>0</v>
      </c>
      <c r="X21" s="147"/>
      <c r="Y21" s="10"/>
    </row>
    <row r="22" spans="1:25" ht="12.75">
      <c r="A22" s="10"/>
      <c r="B22" s="24">
        <v>20</v>
      </c>
      <c r="C22" s="47" t="s">
        <v>15</v>
      </c>
      <c r="D22" s="49"/>
      <c r="E22" s="48"/>
      <c r="F22" s="36">
        <f>'Cenova nabidka CELKOVA'!F21</f>
        <v>0</v>
      </c>
      <c r="G22" s="36">
        <f>'Cenova nabidka CELKOVA'!G21</f>
        <v>1</v>
      </c>
      <c r="H22" s="36">
        <f t="shared" si="4"/>
        <v>0</v>
      </c>
      <c r="I22" s="241">
        <f>ROUND('NABIDKA DOPRAVCE'!J26,3)</f>
        <v>0</v>
      </c>
      <c r="J22" s="138"/>
      <c r="K22" s="161"/>
      <c r="L22" s="162">
        <f t="shared" si="2"/>
        <v>0</v>
      </c>
      <c r="M22" s="147"/>
      <c r="N22" s="167">
        <f t="shared" si="5"/>
        <v>0</v>
      </c>
      <c r="O22" s="168">
        <f t="shared" si="5"/>
        <v>0</v>
      </c>
      <c r="P22" s="168">
        <f t="shared" si="5"/>
        <v>0</v>
      </c>
      <c r="Q22" s="168">
        <f t="shared" si="5"/>
        <v>0</v>
      </c>
      <c r="R22" s="168">
        <f t="shared" si="5"/>
        <v>0</v>
      </c>
      <c r="S22" s="168">
        <f t="shared" si="5"/>
        <v>0</v>
      </c>
      <c r="T22" s="168">
        <f t="shared" si="5"/>
        <v>0</v>
      </c>
      <c r="U22" s="168">
        <f t="shared" si="5"/>
        <v>0</v>
      </c>
      <c r="V22" s="168">
        <f t="shared" si="5"/>
        <v>0</v>
      </c>
      <c r="W22" s="169">
        <f t="shared" si="5"/>
        <v>0</v>
      </c>
      <c r="X22" s="147"/>
      <c r="Y22" s="10"/>
    </row>
    <row r="23" spans="1:25" ht="12.75">
      <c r="A23" s="10"/>
      <c r="B23" s="24">
        <v>21</v>
      </c>
      <c r="C23" s="47" t="s">
        <v>16</v>
      </c>
      <c r="D23" s="49"/>
      <c r="E23" s="48"/>
      <c r="F23" s="36">
        <f>'Cenova nabidka CELKOVA'!F22</f>
        <v>1</v>
      </c>
      <c r="G23" s="36">
        <f>'Cenova nabidka CELKOVA'!G22</f>
        <v>0</v>
      </c>
      <c r="H23" s="36">
        <f t="shared" si="4"/>
        <v>0</v>
      </c>
      <c r="I23" s="241">
        <f>ROUND('NABIDKA DOPRAVCE'!J27,3)</f>
        <v>0.032</v>
      </c>
      <c r="J23" s="138"/>
      <c r="K23" s="161"/>
      <c r="L23" s="162">
        <f t="shared" si="2"/>
        <v>0</v>
      </c>
      <c r="M23" s="147"/>
      <c r="N23" s="167">
        <f t="shared" si="5"/>
        <v>0</v>
      </c>
      <c r="O23" s="168">
        <f t="shared" si="5"/>
        <v>0</v>
      </c>
      <c r="P23" s="168">
        <f t="shared" si="5"/>
        <v>0</v>
      </c>
      <c r="Q23" s="168">
        <f t="shared" si="5"/>
        <v>0</v>
      </c>
      <c r="R23" s="168">
        <f t="shared" si="5"/>
        <v>0</v>
      </c>
      <c r="S23" s="168">
        <f t="shared" si="5"/>
        <v>0</v>
      </c>
      <c r="T23" s="168">
        <f t="shared" si="5"/>
        <v>0</v>
      </c>
      <c r="U23" s="168">
        <f t="shared" si="5"/>
        <v>0</v>
      </c>
      <c r="V23" s="168">
        <f t="shared" si="5"/>
        <v>0</v>
      </c>
      <c r="W23" s="169">
        <f t="shared" si="5"/>
        <v>0</v>
      </c>
      <c r="X23" s="147"/>
      <c r="Y23" s="10"/>
    </row>
    <row r="24" spans="1:25" ht="12.75">
      <c r="A24" s="10"/>
      <c r="B24" s="24">
        <v>22</v>
      </c>
      <c r="C24" s="47" t="s">
        <v>17</v>
      </c>
      <c r="D24" s="49"/>
      <c r="E24" s="48"/>
      <c r="F24" s="36">
        <f>'Cenova nabidka CELKOVA'!F23</f>
        <v>0</v>
      </c>
      <c r="G24" s="36">
        <f>'Cenova nabidka CELKOVA'!G23</f>
        <v>0</v>
      </c>
      <c r="H24" s="36">
        <f t="shared" si="4"/>
        <v>1</v>
      </c>
      <c r="I24" s="241">
        <f>ROUND('NABIDKA DOPRAVCE'!J28,3)</f>
        <v>0</v>
      </c>
      <c r="J24" s="138"/>
      <c r="K24" s="161"/>
      <c r="L24" s="162">
        <f t="shared" si="2"/>
        <v>0</v>
      </c>
      <c r="M24" s="147"/>
      <c r="N24" s="167">
        <f t="shared" si="5"/>
        <v>0</v>
      </c>
      <c r="O24" s="168">
        <f t="shared" si="5"/>
        <v>0</v>
      </c>
      <c r="P24" s="168">
        <f t="shared" si="5"/>
        <v>0</v>
      </c>
      <c r="Q24" s="168">
        <f t="shared" si="5"/>
        <v>0</v>
      </c>
      <c r="R24" s="168">
        <f t="shared" si="5"/>
        <v>0</v>
      </c>
      <c r="S24" s="168">
        <f t="shared" si="5"/>
        <v>0</v>
      </c>
      <c r="T24" s="168">
        <f t="shared" si="5"/>
        <v>0</v>
      </c>
      <c r="U24" s="168">
        <f t="shared" si="5"/>
        <v>0</v>
      </c>
      <c r="V24" s="168">
        <f t="shared" si="5"/>
        <v>0</v>
      </c>
      <c r="W24" s="169">
        <f t="shared" si="5"/>
        <v>0</v>
      </c>
      <c r="X24" s="147"/>
      <c r="Y24" s="10"/>
    </row>
    <row r="25" spans="1:25" ht="12.75">
      <c r="A25" s="10"/>
      <c r="B25" s="24">
        <v>23</v>
      </c>
      <c r="C25" s="47" t="s">
        <v>18</v>
      </c>
      <c r="D25" s="49"/>
      <c r="E25" s="48"/>
      <c r="F25" s="36">
        <f>'Cenova nabidka CELKOVA'!F24</f>
        <v>0.75</v>
      </c>
      <c r="G25" s="36">
        <f>'Cenova nabidka CELKOVA'!G24</f>
        <v>0</v>
      </c>
      <c r="H25" s="36">
        <f t="shared" si="4"/>
        <v>0.25</v>
      </c>
      <c r="I25" s="241">
        <f>ROUND('NABIDKA DOPRAVCE'!J29,3)</f>
        <v>0</v>
      </c>
      <c r="J25" s="138"/>
      <c r="K25" s="161"/>
      <c r="L25" s="162">
        <f t="shared" si="2"/>
        <v>0</v>
      </c>
      <c r="M25" s="147"/>
      <c r="N25" s="167">
        <f t="shared" si="5"/>
        <v>0</v>
      </c>
      <c r="O25" s="168">
        <f t="shared" si="5"/>
        <v>0</v>
      </c>
      <c r="P25" s="168">
        <f t="shared" si="5"/>
        <v>0</v>
      </c>
      <c r="Q25" s="168">
        <f t="shared" si="5"/>
        <v>0</v>
      </c>
      <c r="R25" s="168">
        <f t="shared" si="5"/>
        <v>0</v>
      </c>
      <c r="S25" s="168">
        <f t="shared" si="5"/>
        <v>0</v>
      </c>
      <c r="T25" s="168">
        <f t="shared" si="5"/>
        <v>0</v>
      </c>
      <c r="U25" s="168">
        <f t="shared" si="5"/>
        <v>0</v>
      </c>
      <c r="V25" s="168">
        <f t="shared" si="5"/>
        <v>0</v>
      </c>
      <c r="W25" s="169">
        <f t="shared" si="5"/>
        <v>0</v>
      </c>
      <c r="X25" s="147"/>
      <c r="Y25" s="10"/>
    </row>
    <row r="26" spans="1:25" ht="12.75">
      <c r="A26" s="10"/>
      <c r="B26" s="24">
        <v>24</v>
      </c>
      <c r="C26" s="47" t="s">
        <v>19</v>
      </c>
      <c r="D26" s="49"/>
      <c r="E26" s="48"/>
      <c r="F26" s="36">
        <f>'Cenova nabidka CELKOVA'!F25</f>
        <v>0.75</v>
      </c>
      <c r="G26" s="36">
        <f>'Cenova nabidka CELKOVA'!G25</f>
        <v>0</v>
      </c>
      <c r="H26" s="36">
        <f t="shared" si="4"/>
        <v>0.25</v>
      </c>
      <c r="I26" s="241">
        <f>ROUND('NABIDKA DOPRAVCE'!J30,3)</f>
        <v>0</v>
      </c>
      <c r="J26" s="138"/>
      <c r="K26" s="161"/>
      <c r="L26" s="162">
        <f t="shared" si="2"/>
        <v>0</v>
      </c>
      <c r="M26" s="147"/>
      <c r="N26" s="167">
        <f t="shared" si="5"/>
        <v>0</v>
      </c>
      <c r="O26" s="168">
        <f t="shared" si="5"/>
        <v>0</v>
      </c>
      <c r="P26" s="168">
        <f t="shared" si="5"/>
        <v>0</v>
      </c>
      <c r="Q26" s="168">
        <f t="shared" si="5"/>
        <v>0</v>
      </c>
      <c r="R26" s="168">
        <f t="shared" si="5"/>
        <v>0</v>
      </c>
      <c r="S26" s="168">
        <f t="shared" si="5"/>
        <v>0</v>
      </c>
      <c r="T26" s="168">
        <f t="shared" si="5"/>
        <v>0</v>
      </c>
      <c r="U26" s="168">
        <f t="shared" si="5"/>
        <v>0</v>
      </c>
      <c r="V26" s="168">
        <f t="shared" si="5"/>
        <v>0</v>
      </c>
      <c r="W26" s="169">
        <f t="shared" si="5"/>
        <v>0</v>
      </c>
      <c r="X26" s="147"/>
      <c r="Y26" s="10"/>
    </row>
    <row r="27" spans="1:25" ht="12.75">
      <c r="A27" s="10"/>
      <c r="B27" s="24">
        <v>25</v>
      </c>
      <c r="C27" s="47" t="s">
        <v>20</v>
      </c>
      <c r="D27" s="49"/>
      <c r="E27" s="48"/>
      <c r="F27" s="36">
        <f>'Cenova nabidka CELKOVA'!F26</f>
        <v>1</v>
      </c>
      <c r="G27" s="36">
        <f>'Cenova nabidka CELKOVA'!G26</f>
        <v>0</v>
      </c>
      <c r="H27" s="36">
        <f t="shared" si="4"/>
        <v>0</v>
      </c>
      <c r="I27" s="241">
        <f>ROUND('NABIDKA DOPRAVCE'!J31,3)</f>
        <v>0</v>
      </c>
      <c r="J27" s="138"/>
      <c r="K27" s="161"/>
      <c r="L27" s="162">
        <f t="shared" si="2"/>
        <v>0</v>
      </c>
      <c r="M27" s="147"/>
      <c r="N27" s="167">
        <f t="shared" si="5"/>
        <v>0</v>
      </c>
      <c r="O27" s="168">
        <f t="shared" si="5"/>
        <v>0</v>
      </c>
      <c r="P27" s="168">
        <f t="shared" si="5"/>
        <v>0</v>
      </c>
      <c r="Q27" s="168">
        <f t="shared" si="5"/>
        <v>0</v>
      </c>
      <c r="R27" s="168">
        <f t="shared" si="5"/>
        <v>0</v>
      </c>
      <c r="S27" s="168">
        <f t="shared" si="5"/>
        <v>0</v>
      </c>
      <c r="T27" s="168">
        <f t="shared" si="5"/>
        <v>0</v>
      </c>
      <c r="U27" s="168">
        <f t="shared" si="5"/>
        <v>0</v>
      </c>
      <c r="V27" s="168">
        <f t="shared" si="5"/>
        <v>0</v>
      </c>
      <c r="W27" s="169">
        <f t="shared" si="5"/>
        <v>0</v>
      </c>
      <c r="X27" s="147"/>
      <c r="Y27" s="10"/>
    </row>
    <row r="28" spans="1:25" ht="13.5" thickBot="1">
      <c r="A28" s="10"/>
      <c r="B28" s="27">
        <v>26</v>
      </c>
      <c r="C28" s="81" t="s">
        <v>21</v>
      </c>
      <c r="D28" s="86"/>
      <c r="E28" s="82"/>
      <c r="F28" s="346">
        <f>IF($I$28=0,0,SUMPRODUCT(F7:F27,$I$7:$I$27)/$I$28)</f>
        <v>1</v>
      </c>
      <c r="G28" s="346">
        <f aca="true" t="shared" si="6" ref="G28:H28">IF($I$28=0,0,SUMPRODUCT(G7:G27,$I$7:$I$27)/$I$28)</f>
        <v>0</v>
      </c>
      <c r="H28" s="346">
        <f t="shared" si="6"/>
        <v>0</v>
      </c>
      <c r="I28" s="238">
        <f>SUM(I7:I27)</f>
        <v>0.032</v>
      </c>
      <c r="J28" s="139"/>
      <c r="K28" s="170"/>
      <c r="L28" s="171">
        <f>SUM(L7:L27)</f>
        <v>0</v>
      </c>
      <c r="M28" s="147"/>
      <c r="N28" s="172">
        <f aca="true" t="shared" si="7" ref="N28:W28">SUM(N7:N27)</f>
        <v>0</v>
      </c>
      <c r="O28" s="173">
        <f t="shared" si="7"/>
        <v>0</v>
      </c>
      <c r="P28" s="173">
        <f t="shared" si="7"/>
        <v>0</v>
      </c>
      <c r="Q28" s="173">
        <f t="shared" si="7"/>
        <v>0</v>
      </c>
      <c r="R28" s="173">
        <f t="shared" si="7"/>
        <v>0</v>
      </c>
      <c r="S28" s="173">
        <f t="shared" si="7"/>
        <v>0</v>
      </c>
      <c r="T28" s="173">
        <f t="shared" si="7"/>
        <v>0</v>
      </c>
      <c r="U28" s="173">
        <f t="shared" si="7"/>
        <v>0</v>
      </c>
      <c r="V28" s="173">
        <f t="shared" si="7"/>
        <v>0</v>
      </c>
      <c r="W28" s="174">
        <f t="shared" si="7"/>
        <v>0</v>
      </c>
      <c r="X28" s="147"/>
      <c r="Y28" s="10"/>
    </row>
    <row r="29" spans="1:25" ht="12.75">
      <c r="A29" s="10"/>
      <c r="B29" s="83">
        <v>97</v>
      </c>
      <c r="C29" s="84" t="s">
        <v>83</v>
      </c>
      <c r="D29" s="80"/>
      <c r="E29" s="85"/>
      <c r="F29" s="35">
        <f>'Cenova nabidka CELKOVA'!F28</f>
        <v>0</v>
      </c>
      <c r="G29" s="35">
        <f>'Cenova nabidka CELKOVA'!G28</f>
        <v>1</v>
      </c>
      <c r="H29" s="35">
        <f aca="true" t="shared" si="8" ref="H29:H30">100%-F29-G29</f>
        <v>0</v>
      </c>
      <c r="I29" s="239">
        <f>ROUND('NABIDKA DOPRAVCE'!J33,3)</f>
        <v>0</v>
      </c>
      <c r="J29" s="138"/>
      <c r="K29" s="161"/>
      <c r="L29" s="162">
        <f>$I29*L$34</f>
        <v>0</v>
      </c>
      <c r="M29" s="147"/>
      <c r="N29" s="163">
        <f aca="true" t="shared" si="9" ref="N29:W31">$I29*N$34</f>
        <v>0</v>
      </c>
      <c r="O29" s="164">
        <f t="shared" si="9"/>
        <v>0</v>
      </c>
      <c r="P29" s="164">
        <f t="shared" si="9"/>
        <v>0</v>
      </c>
      <c r="Q29" s="164">
        <f t="shared" si="9"/>
        <v>0</v>
      </c>
      <c r="R29" s="164">
        <f t="shared" si="9"/>
        <v>0</v>
      </c>
      <c r="S29" s="164">
        <f t="shared" si="9"/>
        <v>0</v>
      </c>
      <c r="T29" s="164">
        <f t="shared" si="9"/>
        <v>0</v>
      </c>
      <c r="U29" s="164">
        <f t="shared" si="9"/>
        <v>0</v>
      </c>
      <c r="V29" s="164">
        <f t="shared" si="9"/>
        <v>0</v>
      </c>
      <c r="W29" s="165">
        <f t="shared" si="9"/>
        <v>0</v>
      </c>
      <c r="X29" s="147"/>
      <c r="Y29" s="10"/>
    </row>
    <row r="30" spans="1:25" ht="12.75">
      <c r="A30" s="10"/>
      <c r="B30" s="45">
        <v>98</v>
      </c>
      <c r="C30" s="47" t="s">
        <v>44</v>
      </c>
      <c r="D30" s="28"/>
      <c r="E30" s="48"/>
      <c r="F30" s="36">
        <f>'Cenova nabidka CELKOVA'!F29</f>
        <v>1</v>
      </c>
      <c r="G30" s="36">
        <f>'Cenova nabidka CELKOVA'!G29</f>
        <v>0</v>
      </c>
      <c r="H30" s="36">
        <f t="shared" si="8"/>
        <v>0</v>
      </c>
      <c r="I30" s="241">
        <f>ROUND('NABIDKA DOPRAVCE'!J34,3)</f>
        <v>0</v>
      </c>
      <c r="J30" s="138"/>
      <c r="K30" s="161"/>
      <c r="L30" s="162">
        <f>$I30*L$34</f>
        <v>0</v>
      </c>
      <c r="M30" s="147"/>
      <c r="N30" s="167">
        <f t="shared" si="9"/>
        <v>0</v>
      </c>
      <c r="O30" s="168">
        <f t="shared" si="9"/>
        <v>0</v>
      </c>
      <c r="P30" s="168">
        <f t="shared" si="9"/>
        <v>0</v>
      </c>
      <c r="Q30" s="168">
        <f t="shared" si="9"/>
        <v>0</v>
      </c>
      <c r="R30" s="168">
        <f t="shared" si="9"/>
        <v>0</v>
      </c>
      <c r="S30" s="168">
        <f t="shared" si="9"/>
        <v>0</v>
      </c>
      <c r="T30" s="168">
        <f t="shared" si="9"/>
        <v>0</v>
      </c>
      <c r="U30" s="168">
        <f t="shared" si="9"/>
        <v>0</v>
      </c>
      <c r="V30" s="168">
        <f t="shared" si="9"/>
        <v>0</v>
      </c>
      <c r="W30" s="169">
        <f t="shared" si="9"/>
        <v>0</v>
      </c>
      <c r="X30" s="147"/>
      <c r="Y30" s="10"/>
    </row>
    <row r="31" spans="1:25" ht="12.75">
      <c r="A31" s="10"/>
      <c r="B31" s="334">
        <v>99</v>
      </c>
      <c r="C31" s="194" t="s">
        <v>226</v>
      </c>
      <c r="D31" s="99"/>
      <c r="E31" s="100"/>
      <c r="F31" s="36">
        <f>'Cenova nabidka CELKOVA'!F30</f>
        <v>1</v>
      </c>
      <c r="G31" s="36">
        <f>'Cenova nabidka CELKOVA'!G30</f>
        <v>0</v>
      </c>
      <c r="H31" s="36">
        <f aca="true" t="shared" si="10" ref="H31">100%-F31-G31</f>
        <v>0</v>
      </c>
      <c r="I31" s="241">
        <f>ROUND('NABIDKA DOPRAVCE'!J35,3)</f>
        <v>1.1</v>
      </c>
      <c r="J31" s="138"/>
      <c r="K31" s="161"/>
      <c r="L31" s="162">
        <f>$I31*L$34</f>
        <v>0</v>
      </c>
      <c r="M31" s="147"/>
      <c r="N31" s="167">
        <f t="shared" si="9"/>
        <v>0</v>
      </c>
      <c r="O31" s="168">
        <f t="shared" si="9"/>
        <v>0</v>
      </c>
      <c r="P31" s="168">
        <f t="shared" si="9"/>
        <v>0</v>
      </c>
      <c r="Q31" s="168">
        <f t="shared" si="9"/>
        <v>0</v>
      </c>
      <c r="R31" s="168">
        <f t="shared" si="9"/>
        <v>0</v>
      </c>
      <c r="S31" s="168">
        <f t="shared" si="9"/>
        <v>0</v>
      </c>
      <c r="T31" s="168">
        <f t="shared" si="9"/>
        <v>0</v>
      </c>
      <c r="U31" s="168">
        <f t="shared" si="9"/>
        <v>0</v>
      </c>
      <c r="V31" s="168">
        <f t="shared" si="9"/>
        <v>0</v>
      </c>
      <c r="W31" s="169">
        <f t="shared" si="9"/>
        <v>0</v>
      </c>
      <c r="X31" s="147"/>
      <c r="Y31" s="10"/>
    </row>
    <row r="32" spans="1:25" ht="13.5" thickBot="1">
      <c r="A32" s="10"/>
      <c r="B32" s="46"/>
      <c r="C32" s="81" t="s">
        <v>46</v>
      </c>
      <c r="D32" s="29"/>
      <c r="E32" s="82"/>
      <c r="F32" s="346">
        <f>IF($I$32=0,"",(F28*$I$28+SUMPRODUCT(F29:F31,$I$29:$I$31))/$I$32)</f>
        <v>1</v>
      </c>
      <c r="G32" s="346">
        <f aca="true" t="shared" si="11" ref="G32:H32">IF($I$32=0,"",(G28*$I$28+SUMPRODUCT(G29:G31,$I$29:$I$31))/$I$32)</f>
        <v>0</v>
      </c>
      <c r="H32" s="346">
        <f t="shared" si="11"/>
        <v>0</v>
      </c>
      <c r="I32" s="238">
        <f>SUM(I28:I31)</f>
        <v>1.1320000000000001</v>
      </c>
      <c r="J32" s="139"/>
      <c r="K32" s="170"/>
      <c r="L32" s="171">
        <f>SUM(L28:L31)</f>
        <v>0</v>
      </c>
      <c r="M32" s="147"/>
      <c r="N32" s="172">
        <f>SUM(N28:N31)</f>
        <v>0</v>
      </c>
      <c r="O32" s="173">
        <f aca="true" t="shared" si="12" ref="O32:W32">SUM(O28:O31)</f>
        <v>0</v>
      </c>
      <c r="P32" s="173">
        <f t="shared" si="12"/>
        <v>0</v>
      </c>
      <c r="Q32" s="173">
        <f t="shared" si="12"/>
        <v>0</v>
      </c>
      <c r="R32" s="173">
        <f t="shared" si="12"/>
        <v>0</v>
      </c>
      <c r="S32" s="173">
        <f t="shared" si="12"/>
        <v>0</v>
      </c>
      <c r="T32" s="173">
        <f t="shared" si="12"/>
        <v>0</v>
      </c>
      <c r="U32" s="173">
        <f t="shared" si="12"/>
        <v>0</v>
      </c>
      <c r="V32" s="173">
        <f t="shared" si="12"/>
        <v>0</v>
      </c>
      <c r="W32" s="174">
        <f t="shared" si="12"/>
        <v>0</v>
      </c>
      <c r="X32" s="147"/>
      <c r="Y32" s="10"/>
    </row>
    <row r="33" spans="1:25" ht="13.5" thickBot="1">
      <c r="A33" s="10"/>
      <c r="B33" s="10"/>
      <c r="C33" s="10"/>
      <c r="D33" s="10"/>
      <c r="E33" s="10"/>
      <c r="F33" s="30"/>
      <c r="G33" s="30"/>
      <c r="H33" s="30"/>
      <c r="I33" s="10"/>
      <c r="J33" s="54"/>
      <c r="K33" s="146"/>
      <c r="L33" s="147"/>
      <c r="M33" s="147"/>
      <c r="N33" s="147"/>
      <c r="O33" s="147"/>
      <c r="P33" s="147"/>
      <c r="Q33" s="147"/>
      <c r="R33" s="147"/>
      <c r="S33" s="147"/>
      <c r="T33" s="147"/>
      <c r="U33" s="147"/>
      <c r="V33" s="147"/>
      <c r="W33" s="147"/>
      <c r="X33" s="147"/>
      <c r="Y33" s="10"/>
    </row>
    <row r="34" spans="1:25" ht="13.5" thickBot="1">
      <c r="A34" s="10"/>
      <c r="B34" s="10"/>
      <c r="C34" s="10"/>
      <c r="D34" s="10"/>
      <c r="E34" s="10"/>
      <c r="F34" s="232"/>
      <c r="G34" s="232"/>
      <c r="H34" s="232"/>
      <c r="I34" s="10"/>
      <c r="J34" s="145"/>
      <c r="K34" s="175"/>
      <c r="L34" s="176">
        <f>PP*AVERAGE('Technicke hodnoceni'!D20:M20)</f>
        <v>0</v>
      </c>
      <c r="M34" s="147"/>
      <c r="N34" s="176">
        <f>'Technicke hodnoceni'!D$20*PP</f>
        <v>0</v>
      </c>
      <c r="O34" s="176">
        <f>'Technicke hodnoceni'!E$20*PP</f>
        <v>0</v>
      </c>
      <c r="P34" s="176">
        <f>'Technicke hodnoceni'!F$20*PP</f>
        <v>0</v>
      </c>
      <c r="Q34" s="176">
        <f>'Technicke hodnoceni'!G$20*PP</f>
        <v>0</v>
      </c>
      <c r="R34" s="176">
        <f>'Technicke hodnoceni'!H$20*PP</f>
        <v>0</v>
      </c>
      <c r="S34" s="176">
        <f>'Technicke hodnoceni'!I$20*PP</f>
        <v>0</v>
      </c>
      <c r="T34" s="176">
        <f>'Technicke hodnoceni'!J$20*PP</f>
        <v>0</v>
      </c>
      <c r="U34" s="176">
        <f>'Technicke hodnoceni'!K$20*PP</f>
        <v>0</v>
      </c>
      <c r="V34" s="176">
        <f>'Technicke hodnoceni'!L$20*PP</f>
        <v>0</v>
      </c>
      <c r="W34" s="176">
        <f>'Technicke hodnoceni'!M$20*PP</f>
        <v>0</v>
      </c>
      <c r="X34" s="147"/>
      <c r="Y34" s="10"/>
    </row>
    <row r="35" spans="1:25" ht="12.75">
      <c r="A35" s="10"/>
      <c r="B35" s="10"/>
      <c r="C35" s="10"/>
      <c r="D35" s="10"/>
      <c r="E35" s="10"/>
      <c r="F35" s="30"/>
      <c r="G35" s="30"/>
      <c r="H35" s="30"/>
      <c r="I35" s="10"/>
      <c r="J35" s="145"/>
      <c r="K35" s="175"/>
      <c r="L35" s="177"/>
      <c r="M35" s="147"/>
      <c r="N35" s="177"/>
      <c r="O35" s="177"/>
      <c r="P35" s="177"/>
      <c r="Q35" s="177"/>
      <c r="R35" s="177"/>
      <c r="S35" s="177"/>
      <c r="T35" s="177"/>
      <c r="U35" s="177"/>
      <c r="V35" s="177"/>
      <c r="W35" s="177"/>
      <c r="X35" s="147"/>
      <c r="Y35" s="10"/>
    </row>
    <row r="36" spans="1:25" ht="12.75">
      <c r="A36" s="10"/>
      <c r="B36" s="10"/>
      <c r="C36" s="10"/>
      <c r="D36" s="10"/>
      <c r="E36" s="10"/>
      <c r="F36" s="30"/>
      <c r="G36" s="30"/>
      <c r="H36" s="30"/>
      <c r="I36" s="10"/>
      <c r="J36" s="145"/>
      <c r="K36" s="175"/>
      <c r="L36" s="178" t="s">
        <v>200</v>
      </c>
      <c r="M36" s="147"/>
      <c r="N36" s="177"/>
      <c r="O36" s="177"/>
      <c r="P36" s="177"/>
      <c r="Q36" s="177"/>
      <c r="R36" s="177"/>
      <c r="S36" s="177"/>
      <c r="T36" s="177"/>
      <c r="U36" s="177"/>
      <c r="V36" s="177"/>
      <c r="W36" s="177"/>
      <c r="X36" s="147"/>
      <c r="Y36" s="10"/>
    </row>
    <row r="37" spans="1:25" ht="12.75">
      <c r="A37" s="10"/>
      <c r="B37" s="10"/>
      <c r="C37" s="10"/>
      <c r="D37" s="10"/>
      <c r="E37" s="10"/>
      <c r="F37" s="30"/>
      <c r="G37" s="30"/>
      <c r="H37" s="30"/>
      <c r="I37" s="10"/>
      <c r="J37" s="145"/>
      <c r="K37" s="175"/>
      <c r="L37" s="178"/>
      <c r="M37" s="147"/>
      <c r="N37" s="177"/>
      <c r="O37" s="177"/>
      <c r="P37" s="177"/>
      <c r="Q37" s="177"/>
      <c r="R37" s="177"/>
      <c r="S37" s="177"/>
      <c r="T37" s="177"/>
      <c r="U37" s="177"/>
      <c r="V37" s="177"/>
      <c r="W37" s="177"/>
      <c r="X37" s="147"/>
      <c r="Y37" s="10"/>
    </row>
    <row r="38" spans="1:25" ht="12.75">
      <c r="A38" s="10"/>
      <c r="B38" s="10"/>
      <c r="C38" s="10"/>
      <c r="D38" s="10"/>
      <c r="E38" s="10"/>
      <c r="F38" s="30"/>
      <c r="G38" s="30"/>
      <c r="H38" s="30"/>
      <c r="I38" s="10"/>
      <c r="J38" s="54"/>
      <c r="K38" s="54"/>
      <c r="L38" s="10"/>
      <c r="M38" s="10"/>
      <c r="N38" s="10"/>
      <c r="O38" s="10"/>
      <c r="P38" s="10"/>
      <c r="Q38" s="10"/>
      <c r="R38" s="10"/>
      <c r="S38" s="10"/>
      <c r="T38" s="10"/>
      <c r="U38" s="10"/>
      <c r="V38" s="10"/>
      <c r="W38" s="10"/>
      <c r="X38" s="10"/>
      <c r="Y38" s="10"/>
    </row>
  </sheetData>
  <sheetProtection password="EEFD" sheet="1" scenarios="1" formatRows="0"/>
  <conditionalFormatting sqref="I7:I32">
    <cfRule type="expression" priority="76" dxfId="5">
      <formula>#REF!&gt;'NASTAVENI ZADAVATELE'!#REF!</formula>
    </cfRule>
  </conditionalFormatting>
  <printOptions/>
  <pageMargins left="0.25" right="0.25" top="0.75" bottom="0.75" header="0.3" footer="0.3"/>
  <pageSetup fitToHeight="1" fitToWidth="1" horizontalDpi="600" verticalDpi="600" orientation="landscape" paperSize="9" scale="47" r:id="rId2"/>
  <headerFooter>
    <oddHeader>&amp;C&amp;F</oddHeader>
    <oddFooter>&amp;C&amp;A</oddFooter>
  </headerFooter>
  <colBreaks count="1" manualBreakCount="1">
    <brk id="10" max="16383" man="1"/>
  </colBreaks>
  <drawing r:id="rId1"/>
  <extLst>
    <ext xmlns:x14="http://schemas.microsoft.com/office/spreadsheetml/2009/9/main" uri="{78C0D931-6437-407d-A8EE-F0AAD7539E65}">
      <x14:conditionalFormattings>
        <x14:conditionalFormatting xmlns:xm="http://schemas.microsoft.com/office/excel/2006/main">
          <x14:cfRule type="expression" priority="76">
            <xm:f>#REF!&gt;'NASTAVENI ZADAVATELE'!#REF!</xm:f>
            <x14:dxf>
              <fill>
                <patternFill>
                  <bgColor rgb="FFFF0000"/>
                </patternFill>
              </fill>
            </x14:dxf>
          </x14:cfRule>
          <xm:sqref>I7:I32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7C1FF"/>
    <pageSetUpPr fitToPage="1"/>
  </sheetPr>
  <dimension ref="A1:Y38"/>
  <sheetViews>
    <sheetView zoomScaleSheetLayoutView="70" workbookViewId="0" topLeftCell="A7">
      <selection activeCell="L34" sqref="L34"/>
    </sheetView>
  </sheetViews>
  <sheetFormatPr defaultColWidth="0" defaultRowHeight="0" customHeight="1" zeroHeight="1"/>
  <cols>
    <col min="1" max="1" width="4.7109375" style="9" customWidth="1"/>
    <col min="2" max="2" width="6.7109375" style="9" customWidth="1"/>
    <col min="3" max="3" width="27.57421875" style="9" bestFit="1" customWidth="1"/>
    <col min="4" max="4" width="6.7109375" style="9" customWidth="1"/>
    <col min="5" max="5" width="18.8515625" style="9" customWidth="1"/>
    <col min="6" max="8" width="10.7109375" style="40" customWidth="1"/>
    <col min="9" max="9" width="14.7109375" style="9" customWidth="1"/>
    <col min="10" max="11" width="4.7109375" style="140" customWidth="1"/>
    <col min="12" max="12" width="16.7109375" style="9" customWidth="1"/>
    <col min="13" max="13" width="4.57421875" style="9" customWidth="1"/>
    <col min="14" max="23" width="16.7109375" style="9" customWidth="1"/>
    <col min="24" max="25" width="4.7109375" style="9" customWidth="1"/>
    <col min="26" max="26" width="0" style="9" hidden="1" customWidth="1"/>
    <col min="27" max="16384" width="9.140625" style="9" hidden="1" customWidth="1"/>
  </cols>
  <sheetData>
    <row r="1" spans="1:25" ht="12.75">
      <c r="A1" s="10"/>
      <c r="B1" s="10"/>
      <c r="C1" s="10"/>
      <c r="D1" s="10"/>
      <c r="E1" s="10"/>
      <c r="F1" s="30"/>
      <c r="G1" s="30"/>
      <c r="H1" s="30"/>
      <c r="I1" s="10"/>
      <c r="J1" s="54"/>
      <c r="K1" s="54"/>
      <c r="L1" s="10"/>
      <c r="M1" s="10"/>
      <c r="N1" s="10"/>
      <c r="O1" s="10"/>
      <c r="P1" s="10"/>
      <c r="Q1" s="10"/>
      <c r="R1" s="10"/>
      <c r="S1" s="10"/>
      <c r="T1" s="10"/>
      <c r="U1" s="10"/>
      <c r="V1" s="10"/>
      <c r="W1" s="10"/>
      <c r="X1" s="10"/>
      <c r="Y1" s="10"/>
    </row>
    <row r="2" spans="1:25" ht="12.75">
      <c r="A2" s="10"/>
      <c r="B2" s="11" t="s">
        <v>104</v>
      </c>
      <c r="C2" s="10"/>
      <c r="D2" s="11" t="s">
        <v>108</v>
      </c>
      <c r="E2" s="10"/>
      <c r="F2" s="30"/>
      <c r="G2" s="30"/>
      <c r="H2" s="30"/>
      <c r="I2" s="10"/>
      <c r="J2" s="54"/>
      <c r="K2" s="146"/>
      <c r="L2" s="147"/>
      <c r="M2" s="147"/>
      <c r="N2" s="147"/>
      <c r="O2" s="147"/>
      <c r="P2" s="147"/>
      <c r="Q2" s="147"/>
      <c r="R2" s="147"/>
      <c r="S2" s="147"/>
      <c r="T2" s="147"/>
      <c r="U2" s="147"/>
      <c r="V2" s="147"/>
      <c r="W2" s="147"/>
      <c r="X2" s="147"/>
      <c r="Y2" s="10"/>
    </row>
    <row r="3" spans="1:25" ht="12.75">
      <c r="A3" s="10"/>
      <c r="B3" s="10"/>
      <c r="C3" s="10"/>
      <c r="D3" s="10"/>
      <c r="E3" s="10"/>
      <c r="F3" s="30"/>
      <c r="G3" s="30"/>
      <c r="H3" s="30"/>
      <c r="I3" s="10"/>
      <c r="J3" s="54"/>
      <c r="K3" s="146"/>
      <c r="L3" s="148" t="s">
        <v>128</v>
      </c>
      <c r="M3" s="147"/>
      <c r="N3" s="147"/>
      <c r="O3" s="147"/>
      <c r="P3" s="147"/>
      <c r="Q3" s="147"/>
      <c r="R3" s="147"/>
      <c r="S3" s="147"/>
      <c r="T3" s="147"/>
      <c r="U3" s="147"/>
      <c r="V3" s="147"/>
      <c r="W3" s="147"/>
      <c r="X3" s="147"/>
      <c r="Y3" s="10"/>
    </row>
    <row r="4" spans="1:25" ht="13.5" thickBot="1">
      <c r="A4" s="10"/>
      <c r="B4" s="10"/>
      <c r="C4" s="10"/>
      <c r="D4" s="10"/>
      <c r="E4" s="10"/>
      <c r="F4" s="30"/>
      <c r="G4" s="30"/>
      <c r="H4" s="30"/>
      <c r="I4" s="10"/>
      <c r="J4" s="54"/>
      <c r="K4" s="146"/>
      <c r="L4" s="147"/>
      <c r="M4" s="147"/>
      <c r="N4" s="147"/>
      <c r="O4" s="147"/>
      <c r="P4" s="147"/>
      <c r="Q4" s="147"/>
      <c r="R4" s="147"/>
      <c r="S4" s="147"/>
      <c r="T4" s="147"/>
      <c r="U4" s="147"/>
      <c r="V4" s="147"/>
      <c r="W4" s="147"/>
      <c r="X4" s="147"/>
      <c r="Y4" s="10"/>
    </row>
    <row r="5" spans="1:25" s="8" customFormat="1" ht="38.25" customHeight="1">
      <c r="A5" s="12"/>
      <c r="B5" s="13" t="s">
        <v>35</v>
      </c>
      <c r="C5" s="14" t="s">
        <v>36</v>
      </c>
      <c r="D5" s="14" t="s">
        <v>38</v>
      </c>
      <c r="E5" s="14" t="s">
        <v>37</v>
      </c>
      <c r="F5" s="32" t="s">
        <v>234</v>
      </c>
      <c r="G5" s="32" t="s">
        <v>102</v>
      </c>
      <c r="H5" s="32" t="s">
        <v>103</v>
      </c>
      <c r="I5" s="142" t="s">
        <v>199</v>
      </c>
      <c r="J5" s="143"/>
      <c r="K5" s="149"/>
      <c r="L5" s="150" t="s">
        <v>129</v>
      </c>
      <c r="M5" s="147"/>
      <c r="N5" s="151" t="str">
        <f>"Dopravní rok "&amp;'Technicke hodnoceni'!D17</f>
        <v>Dopravní rok 1</v>
      </c>
      <c r="O5" s="152" t="str">
        <f>"Dopravní rok "&amp;'Technicke hodnoceni'!E17</f>
        <v>Dopravní rok 2</v>
      </c>
      <c r="P5" s="152" t="str">
        <f>"Dopravní rok "&amp;'Technicke hodnoceni'!F17</f>
        <v>Dopravní rok 3</v>
      </c>
      <c r="Q5" s="152" t="str">
        <f>"Dopravní rok "&amp;'Technicke hodnoceni'!G17</f>
        <v>Dopravní rok 4</v>
      </c>
      <c r="R5" s="152" t="str">
        <f>"Dopravní rok "&amp;'Technicke hodnoceni'!H17</f>
        <v>Dopravní rok 5</v>
      </c>
      <c r="S5" s="152" t="str">
        <f>"Dopravní rok "&amp;'Technicke hodnoceni'!I17</f>
        <v>Dopravní rok 6</v>
      </c>
      <c r="T5" s="152" t="str">
        <f>"Dopravní rok "&amp;'Technicke hodnoceni'!J17</f>
        <v>Dopravní rok 7</v>
      </c>
      <c r="U5" s="152" t="str">
        <f>"Dopravní rok "&amp;'Technicke hodnoceni'!K17</f>
        <v>Dopravní rok 8</v>
      </c>
      <c r="V5" s="152" t="str">
        <f>"Dopravní rok "&amp;'Technicke hodnoceni'!L17</f>
        <v>Dopravní rok 9</v>
      </c>
      <c r="W5" s="153" t="str">
        <f>"Dopravní rok "&amp;'Technicke hodnoceni'!M17</f>
        <v>Dopravní rok 10</v>
      </c>
      <c r="X5" s="154"/>
      <c r="Y5" s="12"/>
    </row>
    <row r="6" spans="1:25" s="44" customFormat="1" ht="13.5" thickBot="1">
      <c r="A6" s="41"/>
      <c r="B6" s="42"/>
      <c r="C6" s="34"/>
      <c r="D6" s="34"/>
      <c r="E6" s="34"/>
      <c r="F6" s="34" t="s">
        <v>39</v>
      </c>
      <c r="G6" s="34" t="s">
        <v>39</v>
      </c>
      <c r="H6" s="34" t="s">
        <v>39</v>
      </c>
      <c r="I6" s="43" t="s">
        <v>34</v>
      </c>
      <c r="J6" s="137"/>
      <c r="K6" s="155"/>
      <c r="L6" s="156" t="s">
        <v>32</v>
      </c>
      <c r="M6" s="147"/>
      <c r="N6" s="157" t="s">
        <v>32</v>
      </c>
      <c r="O6" s="158" t="s">
        <v>32</v>
      </c>
      <c r="P6" s="158" t="s">
        <v>32</v>
      </c>
      <c r="Q6" s="158" t="s">
        <v>32</v>
      </c>
      <c r="R6" s="158" t="s">
        <v>32</v>
      </c>
      <c r="S6" s="158" t="s">
        <v>32</v>
      </c>
      <c r="T6" s="158" t="s">
        <v>32</v>
      </c>
      <c r="U6" s="158" t="s">
        <v>32</v>
      </c>
      <c r="V6" s="158" t="s">
        <v>32</v>
      </c>
      <c r="W6" s="159" t="s">
        <v>32</v>
      </c>
      <c r="X6" s="160"/>
      <c r="Y6" s="41"/>
    </row>
    <row r="7" spans="1:25" ht="13.5" thickTop="1">
      <c r="A7" s="10"/>
      <c r="B7" s="15">
        <v>11</v>
      </c>
      <c r="C7" s="16" t="s">
        <v>124</v>
      </c>
      <c r="D7" s="17" t="s">
        <v>22</v>
      </c>
      <c r="E7" s="18" t="s">
        <v>119</v>
      </c>
      <c r="F7" s="115"/>
      <c r="G7" s="115"/>
      <c r="H7" s="115"/>
      <c r="I7" s="237"/>
      <c r="J7" s="138"/>
      <c r="K7" s="161"/>
      <c r="L7" s="202"/>
      <c r="M7" s="147"/>
      <c r="N7" s="179"/>
      <c r="O7" s="180"/>
      <c r="P7" s="180"/>
      <c r="Q7" s="180"/>
      <c r="R7" s="180"/>
      <c r="S7" s="180"/>
      <c r="T7" s="180"/>
      <c r="U7" s="180"/>
      <c r="V7" s="180"/>
      <c r="W7" s="181"/>
      <c r="X7" s="147"/>
      <c r="Y7" s="10"/>
    </row>
    <row r="8" spans="1:25" ht="12.75">
      <c r="A8" s="10"/>
      <c r="B8" s="19"/>
      <c r="C8" s="20"/>
      <c r="D8" s="21" t="s">
        <v>23</v>
      </c>
      <c r="E8" s="22" t="s">
        <v>108</v>
      </c>
      <c r="F8" s="35">
        <f>'Cenova nabidka CELKOVA'!F7</f>
        <v>1</v>
      </c>
      <c r="G8" s="35">
        <f>'Cenova nabidka CELKOVA'!G7</f>
        <v>0</v>
      </c>
      <c r="H8" s="35">
        <f>100%-F8-G8</f>
        <v>0</v>
      </c>
      <c r="I8" s="239">
        <f>IF(L34=0,0,L8/L34)</f>
        <v>6.703722630769232</v>
      </c>
      <c r="J8" s="138"/>
      <c r="K8" s="161"/>
      <c r="L8" s="166">
        <f>AVERAGE(N8:W8)</f>
        <v>18062865.55364405</v>
      </c>
      <c r="M8" s="147"/>
      <c r="N8" s="163">
        <f>ROUND('NABIDKA DOPRAVCE'!$K$12,3)*N$34*'NASTAVENI ZADAVATELE'!E97/100</f>
        <v>16613997.198000003</v>
      </c>
      <c r="O8" s="164">
        <f>ROUND('NABIDKA DOPRAVCE'!$K$12,3)*O$34*'NASTAVENI ZADAVATELE'!F97/100</f>
        <v>17269611.08742877</v>
      </c>
      <c r="P8" s="164">
        <f>ROUND('NABIDKA DOPRAVCE'!$K$12,3)*P$34*'NASTAVENI ZADAVATELE'!G97/100</f>
        <v>17269611.08742877</v>
      </c>
      <c r="Q8" s="164">
        <f>ROUND('NABIDKA DOPRAVCE'!$K$12,3)*Q$34*'NASTAVENI ZADAVATELE'!H97/100</f>
        <v>18496490.880511846</v>
      </c>
      <c r="R8" s="164">
        <f>ROUND('NABIDKA DOPRAVCE'!$K$12,3)*R$34*'NASTAVENI ZADAVATELE'!I97/100</f>
        <v>18496490.880511846</v>
      </c>
      <c r="S8" s="164">
        <f>ROUND('NABIDKA DOPRAVCE'!$K$12,3)*S$34*'NASTAVENI ZADAVATELE'!J97/100</f>
        <v>18496490.880511846</v>
      </c>
      <c r="T8" s="164">
        <f>ROUND('NABIDKA DOPRAVCE'!$K$12,3)*T$34*'NASTAVENI ZADAVATELE'!K97/100</f>
        <v>18496490.880511846</v>
      </c>
      <c r="U8" s="164">
        <f>ROUND('NABIDKA DOPRAVCE'!$K$12,3)*U$34*'NASTAVENI ZADAVATELE'!L97/100</f>
        <v>18496490.880511846</v>
      </c>
      <c r="V8" s="164">
        <f>ROUND('NABIDKA DOPRAVCE'!$K$12,3)*V$34*'NASTAVENI ZADAVATELE'!M97/100</f>
        <v>18496490.880511846</v>
      </c>
      <c r="W8" s="165">
        <f>ROUND('NABIDKA DOPRAVCE'!$K$12,3)*W$34*'NASTAVENI ZADAVATELE'!N97/100</f>
        <v>18496490.880511846</v>
      </c>
      <c r="X8" s="147"/>
      <c r="Y8" s="10"/>
    </row>
    <row r="9" spans="1:25" ht="12.75">
      <c r="A9" s="10"/>
      <c r="B9" s="19"/>
      <c r="C9" s="20"/>
      <c r="D9" s="21" t="s">
        <v>24</v>
      </c>
      <c r="E9" s="22" t="s">
        <v>260</v>
      </c>
      <c r="F9" s="115"/>
      <c r="G9" s="115"/>
      <c r="H9" s="115"/>
      <c r="I9" s="240"/>
      <c r="J9" s="138"/>
      <c r="K9" s="161"/>
      <c r="L9" s="144"/>
      <c r="M9" s="147"/>
      <c r="N9" s="179"/>
      <c r="O9" s="180"/>
      <c r="P9" s="180"/>
      <c r="Q9" s="180"/>
      <c r="R9" s="180"/>
      <c r="S9" s="180"/>
      <c r="T9" s="180"/>
      <c r="U9" s="180"/>
      <c r="V9" s="180"/>
      <c r="W9" s="181"/>
      <c r="X9" s="147"/>
      <c r="Y9" s="10"/>
    </row>
    <row r="10" spans="1:25" ht="12.75">
      <c r="A10" s="10"/>
      <c r="B10" s="23"/>
      <c r="C10" s="18"/>
      <c r="D10" s="21" t="s">
        <v>123</v>
      </c>
      <c r="E10" s="22" t="s">
        <v>25</v>
      </c>
      <c r="F10" s="35">
        <f>'Cenova nabidka CELKOVA'!F9</f>
        <v>1</v>
      </c>
      <c r="G10" s="35">
        <f>'Cenova nabidka CELKOVA'!G9</f>
        <v>0</v>
      </c>
      <c r="H10" s="35">
        <f aca="true" t="shared" si="0" ref="H10:H27">100%-F10-G10</f>
        <v>0</v>
      </c>
      <c r="I10" s="241">
        <f>ROUND('NABIDKA DOPRAVCE'!K14,3)</f>
        <v>0.1</v>
      </c>
      <c r="J10" s="138"/>
      <c r="K10" s="161"/>
      <c r="L10" s="162">
        <f aca="true" t="shared" si="1" ref="L10:L27">$I10*L$34</f>
        <v>269445.3</v>
      </c>
      <c r="M10" s="147"/>
      <c r="N10" s="163">
        <f aca="true" t="shared" si="2" ref="N10:W19">$I10*N$34</f>
        <v>269445.3</v>
      </c>
      <c r="O10" s="164">
        <f t="shared" si="2"/>
        <v>269445.3</v>
      </c>
      <c r="P10" s="164">
        <f t="shared" si="2"/>
        <v>269445.3</v>
      </c>
      <c r="Q10" s="164">
        <f t="shared" si="2"/>
        <v>269445.3</v>
      </c>
      <c r="R10" s="164">
        <f t="shared" si="2"/>
        <v>269445.3</v>
      </c>
      <c r="S10" s="164">
        <f t="shared" si="2"/>
        <v>269445.3</v>
      </c>
      <c r="T10" s="164">
        <f t="shared" si="2"/>
        <v>269445.3</v>
      </c>
      <c r="U10" s="164">
        <f t="shared" si="2"/>
        <v>269445.3</v>
      </c>
      <c r="V10" s="164">
        <f t="shared" si="2"/>
        <v>269445.3</v>
      </c>
      <c r="W10" s="165">
        <f t="shared" si="2"/>
        <v>269445.3</v>
      </c>
      <c r="X10" s="147"/>
      <c r="Y10" s="10"/>
    </row>
    <row r="11" spans="1:25" ht="12.75">
      <c r="A11" s="10"/>
      <c r="B11" s="24">
        <v>12</v>
      </c>
      <c r="C11" s="47" t="s">
        <v>8</v>
      </c>
      <c r="D11" s="49"/>
      <c r="E11" s="48"/>
      <c r="F11" s="35">
        <f>'Cenova nabidka CELKOVA'!F10</f>
        <v>1</v>
      </c>
      <c r="G11" s="35">
        <f>'Cenova nabidka CELKOVA'!G10</f>
        <v>0</v>
      </c>
      <c r="H11" s="35">
        <f t="shared" si="0"/>
        <v>0</v>
      </c>
      <c r="I11" s="241">
        <f>ROUND('NABIDKA DOPRAVCE'!K15,3)</f>
        <v>0.773</v>
      </c>
      <c r="J11" s="138"/>
      <c r="K11" s="161"/>
      <c r="L11" s="162">
        <f t="shared" si="1"/>
        <v>2082812.169</v>
      </c>
      <c r="M11" s="147"/>
      <c r="N11" s="163">
        <f t="shared" si="2"/>
        <v>2082812.169</v>
      </c>
      <c r="O11" s="164">
        <f t="shared" si="2"/>
        <v>2082812.169</v>
      </c>
      <c r="P11" s="164">
        <f t="shared" si="2"/>
        <v>2082812.169</v>
      </c>
      <c r="Q11" s="164">
        <f t="shared" si="2"/>
        <v>2082812.169</v>
      </c>
      <c r="R11" s="164">
        <f t="shared" si="2"/>
        <v>2082812.169</v>
      </c>
      <c r="S11" s="164">
        <f t="shared" si="2"/>
        <v>2082812.169</v>
      </c>
      <c r="T11" s="164">
        <f t="shared" si="2"/>
        <v>2082812.169</v>
      </c>
      <c r="U11" s="164">
        <f t="shared" si="2"/>
        <v>2082812.169</v>
      </c>
      <c r="V11" s="164">
        <f t="shared" si="2"/>
        <v>2082812.169</v>
      </c>
      <c r="W11" s="165">
        <f t="shared" si="2"/>
        <v>2082812.169</v>
      </c>
      <c r="X11" s="147"/>
      <c r="Y11" s="10"/>
    </row>
    <row r="12" spans="1:25" ht="12.75">
      <c r="A12" s="10"/>
      <c r="B12" s="24">
        <v>13</v>
      </c>
      <c r="C12" s="47" t="s">
        <v>9</v>
      </c>
      <c r="D12" s="49"/>
      <c r="E12" s="48"/>
      <c r="F12" s="36">
        <f>'Cenova nabidka CELKOVA'!F11</f>
        <v>1</v>
      </c>
      <c r="G12" s="36">
        <f>'Cenova nabidka CELKOVA'!G11</f>
        <v>0</v>
      </c>
      <c r="H12" s="36">
        <f t="shared" si="0"/>
        <v>0</v>
      </c>
      <c r="I12" s="241">
        <f>ROUND('NABIDKA DOPRAVCE'!K16,3)</f>
        <v>2.03</v>
      </c>
      <c r="J12" s="138"/>
      <c r="K12" s="161"/>
      <c r="L12" s="162">
        <f t="shared" si="1"/>
        <v>5469739.59</v>
      </c>
      <c r="M12" s="147"/>
      <c r="N12" s="167">
        <f t="shared" si="2"/>
        <v>5469739.59</v>
      </c>
      <c r="O12" s="168">
        <f t="shared" si="2"/>
        <v>5469739.59</v>
      </c>
      <c r="P12" s="168">
        <f t="shared" si="2"/>
        <v>5469739.59</v>
      </c>
      <c r="Q12" s="168">
        <f t="shared" si="2"/>
        <v>5469739.59</v>
      </c>
      <c r="R12" s="168">
        <f t="shared" si="2"/>
        <v>5469739.59</v>
      </c>
      <c r="S12" s="168">
        <f t="shared" si="2"/>
        <v>5469739.59</v>
      </c>
      <c r="T12" s="168">
        <f t="shared" si="2"/>
        <v>5469739.59</v>
      </c>
      <c r="U12" s="168">
        <f t="shared" si="2"/>
        <v>5469739.59</v>
      </c>
      <c r="V12" s="168">
        <f t="shared" si="2"/>
        <v>5469739.59</v>
      </c>
      <c r="W12" s="169">
        <f t="shared" si="2"/>
        <v>5469739.59</v>
      </c>
      <c r="X12" s="147"/>
      <c r="Y12" s="10"/>
    </row>
    <row r="13" spans="1:25" ht="12.75">
      <c r="A13" s="10"/>
      <c r="B13" s="25">
        <v>14</v>
      </c>
      <c r="C13" s="26" t="s">
        <v>10</v>
      </c>
      <c r="D13" s="21" t="s">
        <v>28</v>
      </c>
      <c r="E13" s="22" t="s">
        <v>26</v>
      </c>
      <c r="F13" s="36">
        <f>'Cenova nabidka CELKOVA'!F12</f>
        <v>0</v>
      </c>
      <c r="G13" s="36">
        <f>'Cenova nabidka CELKOVA'!G12</f>
        <v>1</v>
      </c>
      <c r="H13" s="36">
        <f t="shared" si="0"/>
        <v>0</v>
      </c>
      <c r="I13" s="241">
        <f>ROUND('NABIDKA DOPRAVCE'!K17,3)</f>
        <v>7.245</v>
      </c>
      <c r="J13" s="138"/>
      <c r="K13" s="161"/>
      <c r="L13" s="162">
        <f t="shared" si="1"/>
        <v>19521311.985</v>
      </c>
      <c r="M13" s="147"/>
      <c r="N13" s="167">
        <f t="shared" si="2"/>
        <v>19521311.985</v>
      </c>
      <c r="O13" s="168">
        <f t="shared" si="2"/>
        <v>19521311.985</v>
      </c>
      <c r="P13" s="168">
        <f t="shared" si="2"/>
        <v>19521311.985</v>
      </c>
      <c r="Q13" s="168">
        <f t="shared" si="2"/>
        <v>19521311.985</v>
      </c>
      <c r="R13" s="168">
        <f t="shared" si="2"/>
        <v>19521311.985</v>
      </c>
      <c r="S13" s="168">
        <f t="shared" si="2"/>
        <v>19521311.985</v>
      </c>
      <c r="T13" s="168">
        <f t="shared" si="2"/>
        <v>19521311.985</v>
      </c>
      <c r="U13" s="168">
        <f t="shared" si="2"/>
        <v>19521311.985</v>
      </c>
      <c r="V13" s="168">
        <f t="shared" si="2"/>
        <v>19521311.985</v>
      </c>
      <c r="W13" s="169">
        <f t="shared" si="2"/>
        <v>19521311.985</v>
      </c>
      <c r="X13" s="147"/>
      <c r="Y13" s="10"/>
    </row>
    <row r="14" spans="1:25" ht="12.75">
      <c r="A14" s="10"/>
      <c r="B14" s="23"/>
      <c r="C14" s="18"/>
      <c r="D14" s="21" t="s">
        <v>29</v>
      </c>
      <c r="E14" s="22" t="s">
        <v>25</v>
      </c>
      <c r="F14" s="36">
        <f>'Cenova nabidka CELKOVA'!F13</f>
        <v>0</v>
      </c>
      <c r="G14" s="36">
        <f>'Cenova nabidka CELKOVA'!G13</f>
        <v>0</v>
      </c>
      <c r="H14" s="36">
        <f t="shared" si="0"/>
        <v>1</v>
      </c>
      <c r="I14" s="241">
        <f>ROUND('NABIDKA DOPRAVCE'!K18,3)</f>
        <v>0.076</v>
      </c>
      <c r="J14" s="138"/>
      <c r="K14" s="161"/>
      <c r="L14" s="162">
        <f t="shared" si="1"/>
        <v>204778.42799999999</v>
      </c>
      <c r="M14" s="147"/>
      <c r="N14" s="167">
        <f t="shared" si="2"/>
        <v>204778.42799999999</v>
      </c>
      <c r="O14" s="168">
        <f t="shared" si="2"/>
        <v>204778.42799999999</v>
      </c>
      <c r="P14" s="168">
        <f t="shared" si="2"/>
        <v>204778.42799999999</v>
      </c>
      <c r="Q14" s="168">
        <f t="shared" si="2"/>
        <v>204778.42799999999</v>
      </c>
      <c r="R14" s="168">
        <f t="shared" si="2"/>
        <v>204778.42799999999</v>
      </c>
      <c r="S14" s="168">
        <f t="shared" si="2"/>
        <v>204778.42799999999</v>
      </c>
      <c r="T14" s="168">
        <f t="shared" si="2"/>
        <v>204778.42799999999</v>
      </c>
      <c r="U14" s="168">
        <f t="shared" si="2"/>
        <v>204778.42799999999</v>
      </c>
      <c r="V14" s="168">
        <f t="shared" si="2"/>
        <v>204778.42799999999</v>
      </c>
      <c r="W14" s="169">
        <f t="shared" si="2"/>
        <v>204778.42799999999</v>
      </c>
      <c r="X14" s="147"/>
      <c r="Y14" s="10"/>
    </row>
    <row r="15" spans="1:25" ht="12.75">
      <c r="A15" s="10"/>
      <c r="B15" s="24">
        <v>15</v>
      </c>
      <c r="C15" s="47" t="s">
        <v>42</v>
      </c>
      <c r="D15" s="49"/>
      <c r="E15" s="48"/>
      <c r="F15" s="36">
        <f>'Cenova nabidka CELKOVA'!F14</f>
        <v>0</v>
      </c>
      <c r="G15" s="36">
        <f>'Cenova nabidka CELKOVA'!G14</f>
        <v>1</v>
      </c>
      <c r="H15" s="36">
        <f t="shared" si="0"/>
        <v>0</v>
      </c>
      <c r="I15" s="241">
        <f>ROUND('NABIDKA DOPRAVCE'!K19,3)</f>
        <v>0</v>
      </c>
      <c r="J15" s="138"/>
      <c r="K15" s="161"/>
      <c r="L15" s="162">
        <f t="shared" si="1"/>
        <v>0</v>
      </c>
      <c r="M15" s="147"/>
      <c r="N15" s="167">
        <f t="shared" si="2"/>
        <v>0</v>
      </c>
      <c r="O15" s="168">
        <f t="shared" si="2"/>
        <v>0</v>
      </c>
      <c r="P15" s="168">
        <f t="shared" si="2"/>
        <v>0</v>
      </c>
      <c r="Q15" s="168">
        <f t="shared" si="2"/>
        <v>0</v>
      </c>
      <c r="R15" s="168">
        <f t="shared" si="2"/>
        <v>0</v>
      </c>
      <c r="S15" s="168">
        <f t="shared" si="2"/>
        <v>0</v>
      </c>
      <c r="T15" s="168">
        <f t="shared" si="2"/>
        <v>0</v>
      </c>
      <c r="U15" s="168">
        <f t="shared" si="2"/>
        <v>0</v>
      </c>
      <c r="V15" s="168">
        <f t="shared" si="2"/>
        <v>0</v>
      </c>
      <c r="W15" s="169">
        <f t="shared" si="2"/>
        <v>0</v>
      </c>
      <c r="X15" s="147"/>
      <c r="Y15" s="10"/>
    </row>
    <row r="16" spans="1:25" ht="12.75">
      <c r="A16" s="10"/>
      <c r="B16" s="25">
        <v>16</v>
      </c>
      <c r="C16" s="26" t="s">
        <v>11</v>
      </c>
      <c r="D16" s="21" t="s">
        <v>30</v>
      </c>
      <c r="E16" s="22" t="s">
        <v>27</v>
      </c>
      <c r="F16" s="35">
        <f>'Cenova nabidka CELKOVA'!F15</f>
        <v>0.67</v>
      </c>
      <c r="G16" s="35">
        <f>'Cenova nabidka CELKOVA'!G15</f>
        <v>0.33</v>
      </c>
      <c r="H16" s="35">
        <f t="shared" si="0"/>
        <v>0</v>
      </c>
      <c r="I16" s="241">
        <f>ROUND('NABIDKA DOPRAVCE'!K20,3)</f>
        <v>6.146</v>
      </c>
      <c r="J16" s="138"/>
      <c r="K16" s="161"/>
      <c r="L16" s="162">
        <f t="shared" si="1"/>
        <v>16560108.138</v>
      </c>
      <c r="M16" s="147"/>
      <c r="N16" s="163">
        <f t="shared" si="2"/>
        <v>16560108.138</v>
      </c>
      <c r="O16" s="164">
        <f t="shared" si="2"/>
        <v>16560108.138</v>
      </c>
      <c r="P16" s="164">
        <f t="shared" si="2"/>
        <v>16560108.138</v>
      </c>
      <c r="Q16" s="164">
        <f t="shared" si="2"/>
        <v>16560108.138</v>
      </c>
      <c r="R16" s="164">
        <f t="shared" si="2"/>
        <v>16560108.138</v>
      </c>
      <c r="S16" s="164">
        <f t="shared" si="2"/>
        <v>16560108.138</v>
      </c>
      <c r="T16" s="164">
        <f t="shared" si="2"/>
        <v>16560108.138</v>
      </c>
      <c r="U16" s="164">
        <f t="shared" si="2"/>
        <v>16560108.138</v>
      </c>
      <c r="V16" s="164">
        <f t="shared" si="2"/>
        <v>16560108.138</v>
      </c>
      <c r="W16" s="165">
        <f t="shared" si="2"/>
        <v>16560108.138</v>
      </c>
      <c r="X16" s="147"/>
      <c r="Y16" s="10"/>
    </row>
    <row r="17" spans="1:25" ht="12.75">
      <c r="A17" s="10"/>
      <c r="B17" s="19"/>
      <c r="C17" s="20"/>
      <c r="D17" s="21" t="s">
        <v>31</v>
      </c>
      <c r="E17" s="22" t="s">
        <v>25</v>
      </c>
      <c r="F17" s="36">
        <f>'Cenova nabidka CELKOVA'!F16</f>
        <v>0.67</v>
      </c>
      <c r="G17" s="36">
        <f>'Cenova nabidka CELKOVA'!G16</f>
        <v>0</v>
      </c>
      <c r="H17" s="36">
        <f t="shared" si="0"/>
        <v>0.32999999999999996</v>
      </c>
      <c r="I17" s="241">
        <f>ROUND('NABIDKA DOPRAVCE'!K21,3)</f>
        <v>0.223</v>
      </c>
      <c r="J17" s="138"/>
      <c r="K17" s="161"/>
      <c r="L17" s="162">
        <f t="shared" si="1"/>
        <v>600863.019</v>
      </c>
      <c r="M17" s="147"/>
      <c r="N17" s="167">
        <f t="shared" si="2"/>
        <v>600863.019</v>
      </c>
      <c r="O17" s="168">
        <f t="shared" si="2"/>
        <v>600863.019</v>
      </c>
      <c r="P17" s="168">
        <f t="shared" si="2"/>
        <v>600863.019</v>
      </c>
      <c r="Q17" s="168">
        <f t="shared" si="2"/>
        <v>600863.019</v>
      </c>
      <c r="R17" s="168">
        <f t="shared" si="2"/>
        <v>600863.019</v>
      </c>
      <c r="S17" s="168">
        <f t="shared" si="2"/>
        <v>600863.019</v>
      </c>
      <c r="T17" s="168">
        <f t="shared" si="2"/>
        <v>600863.019</v>
      </c>
      <c r="U17" s="168">
        <f t="shared" si="2"/>
        <v>600863.019</v>
      </c>
      <c r="V17" s="168">
        <f t="shared" si="2"/>
        <v>600863.019</v>
      </c>
      <c r="W17" s="169">
        <f t="shared" si="2"/>
        <v>600863.019</v>
      </c>
      <c r="X17" s="147"/>
      <c r="Y17" s="10"/>
    </row>
    <row r="18" spans="1:25" ht="12.75">
      <c r="A18" s="10"/>
      <c r="B18" s="23">
        <v>17</v>
      </c>
      <c r="C18" s="18" t="s">
        <v>12</v>
      </c>
      <c r="D18" s="21" t="s">
        <v>40</v>
      </c>
      <c r="E18" s="22" t="s">
        <v>27</v>
      </c>
      <c r="F18" s="36">
        <f>'Cenova nabidka CELKOVA'!F17</f>
        <v>0.67</v>
      </c>
      <c r="G18" s="36">
        <f>'Cenova nabidka CELKOVA'!G17</f>
        <v>0.33</v>
      </c>
      <c r="H18" s="36">
        <f t="shared" si="0"/>
        <v>0</v>
      </c>
      <c r="I18" s="241">
        <f>ROUND('NABIDKA DOPRAVCE'!K22,3)</f>
        <v>2.09</v>
      </c>
      <c r="J18" s="138"/>
      <c r="K18" s="161"/>
      <c r="L18" s="162">
        <f t="shared" si="1"/>
        <v>5631406.77</v>
      </c>
      <c r="M18" s="147"/>
      <c r="N18" s="167">
        <f t="shared" si="2"/>
        <v>5631406.77</v>
      </c>
      <c r="O18" s="168">
        <f t="shared" si="2"/>
        <v>5631406.77</v>
      </c>
      <c r="P18" s="168">
        <f t="shared" si="2"/>
        <v>5631406.77</v>
      </c>
      <c r="Q18" s="168">
        <f t="shared" si="2"/>
        <v>5631406.77</v>
      </c>
      <c r="R18" s="168">
        <f t="shared" si="2"/>
        <v>5631406.77</v>
      </c>
      <c r="S18" s="168">
        <f t="shared" si="2"/>
        <v>5631406.77</v>
      </c>
      <c r="T18" s="168">
        <f t="shared" si="2"/>
        <v>5631406.77</v>
      </c>
      <c r="U18" s="168">
        <f t="shared" si="2"/>
        <v>5631406.77</v>
      </c>
      <c r="V18" s="168">
        <f t="shared" si="2"/>
        <v>5631406.77</v>
      </c>
      <c r="W18" s="169">
        <f t="shared" si="2"/>
        <v>5631406.77</v>
      </c>
      <c r="X18" s="147"/>
      <c r="Y18" s="10"/>
    </row>
    <row r="19" spans="1:25" ht="12.75">
      <c r="A19" s="10"/>
      <c r="B19" s="24"/>
      <c r="C19" s="22"/>
      <c r="D19" s="21" t="s">
        <v>41</v>
      </c>
      <c r="E19" s="22" t="s">
        <v>25</v>
      </c>
      <c r="F19" s="36">
        <f>'Cenova nabidka CELKOVA'!F18</f>
        <v>0.67</v>
      </c>
      <c r="G19" s="36">
        <f>'Cenova nabidka CELKOVA'!G18</f>
        <v>0</v>
      </c>
      <c r="H19" s="36">
        <f t="shared" si="0"/>
        <v>0.32999999999999996</v>
      </c>
      <c r="I19" s="241">
        <f>ROUND('NABIDKA DOPRAVCE'!K23,3)</f>
        <v>0.076</v>
      </c>
      <c r="J19" s="138"/>
      <c r="K19" s="161"/>
      <c r="L19" s="162">
        <f t="shared" si="1"/>
        <v>204778.42799999999</v>
      </c>
      <c r="M19" s="147"/>
      <c r="N19" s="167">
        <f t="shared" si="2"/>
        <v>204778.42799999999</v>
      </c>
      <c r="O19" s="168">
        <f t="shared" si="2"/>
        <v>204778.42799999999</v>
      </c>
      <c r="P19" s="168">
        <f t="shared" si="2"/>
        <v>204778.42799999999</v>
      </c>
      <c r="Q19" s="168">
        <f t="shared" si="2"/>
        <v>204778.42799999999</v>
      </c>
      <c r="R19" s="168">
        <f t="shared" si="2"/>
        <v>204778.42799999999</v>
      </c>
      <c r="S19" s="168">
        <f t="shared" si="2"/>
        <v>204778.42799999999</v>
      </c>
      <c r="T19" s="168">
        <f t="shared" si="2"/>
        <v>204778.42799999999</v>
      </c>
      <c r="U19" s="168">
        <f t="shared" si="2"/>
        <v>204778.42799999999</v>
      </c>
      <c r="V19" s="168">
        <f t="shared" si="2"/>
        <v>204778.42799999999</v>
      </c>
      <c r="W19" s="169">
        <f t="shared" si="2"/>
        <v>204778.42799999999</v>
      </c>
      <c r="X19" s="147"/>
      <c r="Y19" s="10"/>
    </row>
    <row r="20" spans="1:25" ht="12.75">
      <c r="A20" s="10"/>
      <c r="B20" s="24">
        <v>18</v>
      </c>
      <c r="C20" s="47" t="s">
        <v>13</v>
      </c>
      <c r="D20" s="49"/>
      <c r="E20" s="48"/>
      <c r="F20" s="36">
        <f>'Cenova nabidka CELKOVA'!F19</f>
        <v>0.65</v>
      </c>
      <c r="G20" s="36">
        <f>'Cenova nabidka CELKOVA'!G19</f>
        <v>0</v>
      </c>
      <c r="H20" s="36">
        <f t="shared" si="0"/>
        <v>0.35</v>
      </c>
      <c r="I20" s="241">
        <f>ROUND('NABIDKA DOPRAVCE'!K24,3)</f>
        <v>0.424</v>
      </c>
      <c r="J20" s="138"/>
      <c r="K20" s="161"/>
      <c r="L20" s="162">
        <f t="shared" si="1"/>
        <v>1142448.072</v>
      </c>
      <c r="M20" s="147"/>
      <c r="N20" s="167">
        <f aca="true" t="shared" si="3" ref="N20:W27">$I20*N$34</f>
        <v>1142448.072</v>
      </c>
      <c r="O20" s="168">
        <f t="shared" si="3"/>
        <v>1142448.072</v>
      </c>
      <c r="P20" s="168">
        <f t="shared" si="3"/>
        <v>1142448.072</v>
      </c>
      <c r="Q20" s="168">
        <f t="shared" si="3"/>
        <v>1142448.072</v>
      </c>
      <c r="R20" s="168">
        <f t="shared" si="3"/>
        <v>1142448.072</v>
      </c>
      <c r="S20" s="168">
        <f t="shared" si="3"/>
        <v>1142448.072</v>
      </c>
      <c r="T20" s="168">
        <f t="shared" si="3"/>
        <v>1142448.072</v>
      </c>
      <c r="U20" s="168">
        <f t="shared" si="3"/>
        <v>1142448.072</v>
      </c>
      <c r="V20" s="168">
        <f t="shared" si="3"/>
        <v>1142448.072</v>
      </c>
      <c r="W20" s="169">
        <f t="shared" si="3"/>
        <v>1142448.072</v>
      </c>
      <c r="X20" s="147"/>
      <c r="Y20" s="10"/>
    </row>
    <row r="21" spans="1:25" ht="12.75">
      <c r="A21" s="10"/>
      <c r="B21" s="24">
        <v>19</v>
      </c>
      <c r="C21" s="47" t="s">
        <v>14</v>
      </c>
      <c r="D21" s="49"/>
      <c r="E21" s="48"/>
      <c r="F21" s="36">
        <f>'Cenova nabidka CELKOVA'!F20</f>
        <v>1</v>
      </c>
      <c r="G21" s="36">
        <f>'Cenova nabidka CELKOVA'!G20</f>
        <v>0</v>
      </c>
      <c r="H21" s="36">
        <f t="shared" si="0"/>
        <v>0</v>
      </c>
      <c r="I21" s="241">
        <f>ROUND('NABIDKA DOPRAVCE'!K25,3)</f>
        <v>0.28</v>
      </c>
      <c r="J21" s="138"/>
      <c r="K21" s="161"/>
      <c r="L21" s="162">
        <f t="shared" si="1"/>
        <v>754446.8400000001</v>
      </c>
      <c r="M21" s="147"/>
      <c r="N21" s="167">
        <f t="shared" si="3"/>
        <v>754446.8400000001</v>
      </c>
      <c r="O21" s="168">
        <f t="shared" si="3"/>
        <v>754446.8400000001</v>
      </c>
      <c r="P21" s="168">
        <f t="shared" si="3"/>
        <v>754446.8400000001</v>
      </c>
      <c r="Q21" s="168">
        <f t="shared" si="3"/>
        <v>754446.8400000001</v>
      </c>
      <c r="R21" s="168">
        <f t="shared" si="3"/>
        <v>754446.8400000001</v>
      </c>
      <c r="S21" s="168">
        <f t="shared" si="3"/>
        <v>754446.8400000001</v>
      </c>
      <c r="T21" s="168">
        <f t="shared" si="3"/>
        <v>754446.8400000001</v>
      </c>
      <c r="U21" s="168">
        <f t="shared" si="3"/>
        <v>754446.8400000001</v>
      </c>
      <c r="V21" s="168">
        <f t="shared" si="3"/>
        <v>754446.8400000001</v>
      </c>
      <c r="W21" s="169">
        <f t="shared" si="3"/>
        <v>754446.8400000001</v>
      </c>
      <c r="X21" s="147"/>
      <c r="Y21" s="10"/>
    </row>
    <row r="22" spans="1:25" ht="12.75">
      <c r="A22" s="10"/>
      <c r="B22" s="24">
        <v>20</v>
      </c>
      <c r="C22" s="47" t="s">
        <v>15</v>
      </c>
      <c r="D22" s="49"/>
      <c r="E22" s="48"/>
      <c r="F22" s="36">
        <f>'Cenova nabidka CELKOVA'!F21</f>
        <v>0</v>
      </c>
      <c r="G22" s="36">
        <f>'Cenova nabidka CELKOVA'!G21</f>
        <v>1</v>
      </c>
      <c r="H22" s="36">
        <f t="shared" si="0"/>
        <v>0</v>
      </c>
      <c r="I22" s="241">
        <f>ROUND('NABIDKA DOPRAVCE'!K26,3)</f>
        <v>0</v>
      </c>
      <c r="J22" s="138"/>
      <c r="K22" s="161"/>
      <c r="L22" s="162">
        <f t="shared" si="1"/>
        <v>0</v>
      </c>
      <c r="M22" s="147"/>
      <c r="N22" s="167">
        <f t="shared" si="3"/>
        <v>0</v>
      </c>
      <c r="O22" s="168">
        <f t="shared" si="3"/>
        <v>0</v>
      </c>
      <c r="P22" s="168">
        <f t="shared" si="3"/>
        <v>0</v>
      </c>
      <c r="Q22" s="168">
        <f t="shared" si="3"/>
        <v>0</v>
      </c>
      <c r="R22" s="168">
        <f t="shared" si="3"/>
        <v>0</v>
      </c>
      <c r="S22" s="168">
        <f t="shared" si="3"/>
        <v>0</v>
      </c>
      <c r="T22" s="168">
        <f t="shared" si="3"/>
        <v>0</v>
      </c>
      <c r="U22" s="168">
        <f t="shared" si="3"/>
        <v>0</v>
      </c>
      <c r="V22" s="168">
        <f t="shared" si="3"/>
        <v>0</v>
      </c>
      <c r="W22" s="169">
        <f t="shared" si="3"/>
        <v>0</v>
      </c>
      <c r="X22" s="147"/>
      <c r="Y22" s="10"/>
    </row>
    <row r="23" spans="1:25" ht="12.75">
      <c r="A23" s="10"/>
      <c r="B23" s="24">
        <v>21</v>
      </c>
      <c r="C23" s="47" t="s">
        <v>16</v>
      </c>
      <c r="D23" s="49"/>
      <c r="E23" s="48"/>
      <c r="F23" s="36">
        <f>'Cenova nabidka CELKOVA'!F22</f>
        <v>1</v>
      </c>
      <c r="G23" s="36">
        <f>'Cenova nabidka CELKOVA'!G22</f>
        <v>0</v>
      </c>
      <c r="H23" s="36">
        <f t="shared" si="0"/>
        <v>0</v>
      </c>
      <c r="I23" s="241">
        <f>ROUND('NABIDKA DOPRAVCE'!K27,3)</f>
        <v>0.032</v>
      </c>
      <c r="J23" s="138"/>
      <c r="K23" s="161"/>
      <c r="L23" s="162">
        <f t="shared" si="1"/>
        <v>86222.496</v>
      </c>
      <c r="M23" s="147"/>
      <c r="N23" s="167">
        <f t="shared" si="3"/>
        <v>86222.496</v>
      </c>
      <c r="O23" s="168">
        <f t="shared" si="3"/>
        <v>86222.496</v>
      </c>
      <c r="P23" s="168">
        <f t="shared" si="3"/>
        <v>86222.496</v>
      </c>
      <c r="Q23" s="168">
        <f t="shared" si="3"/>
        <v>86222.496</v>
      </c>
      <c r="R23" s="168">
        <f t="shared" si="3"/>
        <v>86222.496</v>
      </c>
      <c r="S23" s="168">
        <f t="shared" si="3"/>
        <v>86222.496</v>
      </c>
      <c r="T23" s="168">
        <f t="shared" si="3"/>
        <v>86222.496</v>
      </c>
      <c r="U23" s="168">
        <f t="shared" si="3"/>
        <v>86222.496</v>
      </c>
      <c r="V23" s="168">
        <f t="shared" si="3"/>
        <v>86222.496</v>
      </c>
      <c r="W23" s="169">
        <f t="shared" si="3"/>
        <v>86222.496</v>
      </c>
      <c r="X23" s="147"/>
      <c r="Y23" s="10"/>
    </row>
    <row r="24" spans="1:25" ht="12.75">
      <c r="A24" s="10"/>
      <c r="B24" s="24">
        <v>22</v>
      </c>
      <c r="C24" s="47" t="s">
        <v>17</v>
      </c>
      <c r="D24" s="49"/>
      <c r="E24" s="48"/>
      <c r="F24" s="36">
        <f>'Cenova nabidka CELKOVA'!F23</f>
        <v>0</v>
      </c>
      <c r="G24" s="36">
        <f>'Cenova nabidka CELKOVA'!G23</f>
        <v>0</v>
      </c>
      <c r="H24" s="36">
        <f t="shared" si="0"/>
        <v>1</v>
      </c>
      <c r="I24" s="241">
        <f>ROUND('NABIDKA DOPRAVCE'!K28,3)</f>
        <v>0.25</v>
      </c>
      <c r="J24" s="138"/>
      <c r="K24" s="161"/>
      <c r="L24" s="162">
        <f t="shared" si="1"/>
        <v>673613.25</v>
      </c>
      <c r="M24" s="147"/>
      <c r="N24" s="167">
        <f t="shared" si="3"/>
        <v>673613.25</v>
      </c>
      <c r="O24" s="168">
        <f t="shared" si="3"/>
        <v>673613.25</v>
      </c>
      <c r="P24" s="168">
        <f t="shared" si="3"/>
        <v>673613.25</v>
      </c>
      <c r="Q24" s="168">
        <f t="shared" si="3"/>
        <v>673613.25</v>
      </c>
      <c r="R24" s="168">
        <f t="shared" si="3"/>
        <v>673613.25</v>
      </c>
      <c r="S24" s="168">
        <f t="shared" si="3"/>
        <v>673613.25</v>
      </c>
      <c r="T24" s="168">
        <f t="shared" si="3"/>
        <v>673613.25</v>
      </c>
      <c r="U24" s="168">
        <f t="shared" si="3"/>
        <v>673613.25</v>
      </c>
      <c r="V24" s="168">
        <f t="shared" si="3"/>
        <v>673613.25</v>
      </c>
      <c r="W24" s="169">
        <f t="shared" si="3"/>
        <v>673613.25</v>
      </c>
      <c r="X24" s="147"/>
      <c r="Y24" s="10"/>
    </row>
    <row r="25" spans="1:25" ht="12.75">
      <c r="A25" s="10"/>
      <c r="B25" s="24">
        <v>23</v>
      </c>
      <c r="C25" s="47" t="s">
        <v>18</v>
      </c>
      <c r="D25" s="49"/>
      <c r="E25" s="48"/>
      <c r="F25" s="36">
        <f>'Cenova nabidka CELKOVA'!F24</f>
        <v>0.75</v>
      </c>
      <c r="G25" s="36">
        <f>'Cenova nabidka CELKOVA'!G24</f>
        <v>0</v>
      </c>
      <c r="H25" s="36">
        <f t="shared" si="0"/>
        <v>0.25</v>
      </c>
      <c r="I25" s="241">
        <f>ROUND('NABIDKA DOPRAVCE'!K29,3)</f>
        <v>0.45</v>
      </c>
      <c r="J25" s="138"/>
      <c r="K25" s="161"/>
      <c r="L25" s="162">
        <f t="shared" si="1"/>
        <v>1212503.85</v>
      </c>
      <c r="M25" s="147"/>
      <c r="N25" s="167">
        <f t="shared" si="3"/>
        <v>1212503.85</v>
      </c>
      <c r="O25" s="168">
        <f t="shared" si="3"/>
        <v>1212503.85</v>
      </c>
      <c r="P25" s="168">
        <f t="shared" si="3"/>
        <v>1212503.85</v>
      </c>
      <c r="Q25" s="168">
        <f t="shared" si="3"/>
        <v>1212503.85</v>
      </c>
      <c r="R25" s="168">
        <f t="shared" si="3"/>
        <v>1212503.85</v>
      </c>
      <c r="S25" s="168">
        <f t="shared" si="3"/>
        <v>1212503.85</v>
      </c>
      <c r="T25" s="168">
        <f t="shared" si="3"/>
        <v>1212503.85</v>
      </c>
      <c r="U25" s="168">
        <f t="shared" si="3"/>
        <v>1212503.85</v>
      </c>
      <c r="V25" s="168">
        <f t="shared" si="3"/>
        <v>1212503.85</v>
      </c>
      <c r="W25" s="169">
        <f t="shared" si="3"/>
        <v>1212503.85</v>
      </c>
      <c r="X25" s="147"/>
      <c r="Y25" s="10"/>
    </row>
    <row r="26" spans="1:25" ht="12.75">
      <c r="A26" s="10"/>
      <c r="B26" s="24">
        <v>24</v>
      </c>
      <c r="C26" s="47" t="s">
        <v>19</v>
      </c>
      <c r="D26" s="49"/>
      <c r="E26" s="48"/>
      <c r="F26" s="36">
        <f>'Cenova nabidka CELKOVA'!F25</f>
        <v>0.75</v>
      </c>
      <c r="G26" s="36">
        <f>'Cenova nabidka CELKOVA'!G25</f>
        <v>0</v>
      </c>
      <c r="H26" s="36">
        <f t="shared" si="0"/>
        <v>0.25</v>
      </c>
      <c r="I26" s="241">
        <f>ROUND('NABIDKA DOPRAVCE'!K30,3)</f>
        <v>0.85</v>
      </c>
      <c r="J26" s="138"/>
      <c r="K26" s="161"/>
      <c r="L26" s="162">
        <f t="shared" si="1"/>
        <v>2290285.05</v>
      </c>
      <c r="M26" s="147"/>
      <c r="N26" s="167">
        <f t="shared" si="3"/>
        <v>2290285.05</v>
      </c>
      <c r="O26" s="168">
        <f t="shared" si="3"/>
        <v>2290285.05</v>
      </c>
      <c r="P26" s="168">
        <f t="shared" si="3"/>
        <v>2290285.05</v>
      </c>
      <c r="Q26" s="168">
        <f t="shared" si="3"/>
        <v>2290285.05</v>
      </c>
      <c r="R26" s="168">
        <f t="shared" si="3"/>
        <v>2290285.05</v>
      </c>
      <c r="S26" s="168">
        <f t="shared" si="3"/>
        <v>2290285.05</v>
      </c>
      <c r="T26" s="168">
        <f t="shared" si="3"/>
        <v>2290285.05</v>
      </c>
      <c r="U26" s="168">
        <f t="shared" si="3"/>
        <v>2290285.05</v>
      </c>
      <c r="V26" s="168">
        <f t="shared" si="3"/>
        <v>2290285.05</v>
      </c>
      <c r="W26" s="169">
        <f t="shared" si="3"/>
        <v>2290285.05</v>
      </c>
      <c r="X26" s="147"/>
      <c r="Y26" s="10"/>
    </row>
    <row r="27" spans="1:25" ht="12.75">
      <c r="A27" s="10"/>
      <c r="B27" s="24">
        <v>25</v>
      </c>
      <c r="C27" s="47" t="s">
        <v>20</v>
      </c>
      <c r="D27" s="49"/>
      <c r="E27" s="48"/>
      <c r="F27" s="36">
        <f>'Cenova nabidka CELKOVA'!F26</f>
        <v>1</v>
      </c>
      <c r="G27" s="36">
        <f>'Cenova nabidka CELKOVA'!G26</f>
        <v>0</v>
      </c>
      <c r="H27" s="36">
        <f t="shared" si="0"/>
        <v>0</v>
      </c>
      <c r="I27" s="241">
        <f>ROUND('NABIDKA DOPRAVCE'!K31,3)</f>
        <v>0.58</v>
      </c>
      <c r="J27" s="138"/>
      <c r="K27" s="161"/>
      <c r="L27" s="162">
        <f t="shared" si="1"/>
        <v>1562782.74</v>
      </c>
      <c r="M27" s="147"/>
      <c r="N27" s="167">
        <f t="shared" si="3"/>
        <v>1562782.74</v>
      </c>
      <c r="O27" s="168">
        <f t="shared" si="3"/>
        <v>1562782.74</v>
      </c>
      <c r="P27" s="168">
        <f t="shared" si="3"/>
        <v>1562782.74</v>
      </c>
      <c r="Q27" s="168">
        <f t="shared" si="3"/>
        <v>1562782.74</v>
      </c>
      <c r="R27" s="168">
        <f t="shared" si="3"/>
        <v>1562782.74</v>
      </c>
      <c r="S27" s="168">
        <f t="shared" si="3"/>
        <v>1562782.74</v>
      </c>
      <c r="T27" s="168">
        <f t="shared" si="3"/>
        <v>1562782.74</v>
      </c>
      <c r="U27" s="168">
        <f t="shared" si="3"/>
        <v>1562782.74</v>
      </c>
      <c r="V27" s="168">
        <f t="shared" si="3"/>
        <v>1562782.74</v>
      </c>
      <c r="W27" s="169">
        <f t="shared" si="3"/>
        <v>1562782.74</v>
      </c>
      <c r="X27" s="147"/>
      <c r="Y27" s="10"/>
    </row>
    <row r="28" spans="1:25" ht="13.5" thickBot="1">
      <c r="A28" s="10"/>
      <c r="B28" s="27">
        <v>26</v>
      </c>
      <c r="C28" s="81" t="s">
        <v>21</v>
      </c>
      <c r="D28" s="86"/>
      <c r="E28" s="82"/>
      <c r="F28" s="346">
        <f>IF($I$28=0,0,SUMPRODUCT(F7:F27,$I$7:$I$27)/$I$28)</f>
        <v>0.6166099636203368</v>
      </c>
      <c r="G28" s="346">
        <f aca="true" t="shared" si="4" ref="G28:H28">IF($I$28=0,0,SUMPRODUCT(G7:G27,$I$7:$I$27)/$I$28)</f>
        <v>0.35168828929754925</v>
      </c>
      <c r="H28" s="346">
        <f t="shared" si="4"/>
        <v>0.03170174708211381</v>
      </c>
      <c r="I28" s="238">
        <f>SUM(I7:I27)</f>
        <v>28.32872263076923</v>
      </c>
      <c r="J28" s="139"/>
      <c r="K28" s="170"/>
      <c r="L28" s="171">
        <f>SUM(L7:L27)</f>
        <v>76330411.67864405</v>
      </c>
      <c r="M28" s="147"/>
      <c r="N28" s="172">
        <f aca="true" t="shared" si="5" ref="N28:W28">SUM(N7:N27)</f>
        <v>74881543.323</v>
      </c>
      <c r="O28" s="173">
        <f t="shared" si="5"/>
        <v>75537157.21242878</v>
      </c>
      <c r="P28" s="173">
        <f t="shared" si="5"/>
        <v>75537157.21242878</v>
      </c>
      <c r="Q28" s="173">
        <f t="shared" si="5"/>
        <v>76764037.00551185</v>
      </c>
      <c r="R28" s="173">
        <f t="shared" si="5"/>
        <v>76764037.00551185</v>
      </c>
      <c r="S28" s="173">
        <f t="shared" si="5"/>
        <v>76764037.00551185</v>
      </c>
      <c r="T28" s="173">
        <f t="shared" si="5"/>
        <v>76764037.00551185</v>
      </c>
      <c r="U28" s="173">
        <f t="shared" si="5"/>
        <v>76764037.00551185</v>
      </c>
      <c r="V28" s="173">
        <f t="shared" si="5"/>
        <v>76764037.00551185</v>
      </c>
      <c r="W28" s="174">
        <f t="shared" si="5"/>
        <v>76764037.00551185</v>
      </c>
      <c r="X28" s="147"/>
      <c r="Y28" s="10"/>
    </row>
    <row r="29" spans="1:25" ht="12.75">
      <c r="A29" s="10"/>
      <c r="B29" s="83">
        <v>97</v>
      </c>
      <c r="C29" s="84" t="s">
        <v>83</v>
      </c>
      <c r="D29" s="80"/>
      <c r="E29" s="85"/>
      <c r="F29" s="35">
        <f>'Cenova nabidka CELKOVA'!F28</f>
        <v>0</v>
      </c>
      <c r="G29" s="35">
        <f>'Cenova nabidka CELKOVA'!G28</f>
        <v>1</v>
      </c>
      <c r="H29" s="35">
        <f aca="true" t="shared" si="6" ref="H29:H30">100%-F29-G29</f>
        <v>0</v>
      </c>
      <c r="I29" s="239">
        <f>ROUND('NABIDKA DOPRAVCE'!K33,3)</f>
        <v>0</v>
      </c>
      <c r="J29" s="138"/>
      <c r="K29" s="161"/>
      <c r="L29" s="162">
        <f>$I29*L$34</f>
        <v>0</v>
      </c>
      <c r="M29" s="147"/>
      <c r="N29" s="163">
        <f aca="true" t="shared" si="7" ref="N29:W31">$I29*N$34</f>
        <v>0</v>
      </c>
      <c r="O29" s="164">
        <f t="shared" si="7"/>
        <v>0</v>
      </c>
      <c r="P29" s="164">
        <f t="shared" si="7"/>
        <v>0</v>
      </c>
      <c r="Q29" s="164">
        <f t="shared" si="7"/>
        <v>0</v>
      </c>
      <c r="R29" s="164">
        <f t="shared" si="7"/>
        <v>0</v>
      </c>
      <c r="S29" s="164">
        <f t="shared" si="7"/>
        <v>0</v>
      </c>
      <c r="T29" s="164">
        <f t="shared" si="7"/>
        <v>0</v>
      </c>
      <c r="U29" s="164">
        <f t="shared" si="7"/>
        <v>0</v>
      </c>
      <c r="V29" s="164">
        <f t="shared" si="7"/>
        <v>0</v>
      </c>
      <c r="W29" s="165">
        <f t="shared" si="7"/>
        <v>0</v>
      </c>
      <c r="X29" s="147"/>
      <c r="Y29" s="10"/>
    </row>
    <row r="30" spans="1:25" ht="12.75">
      <c r="A30" s="10"/>
      <c r="B30" s="45">
        <v>98</v>
      </c>
      <c r="C30" s="47" t="s">
        <v>44</v>
      </c>
      <c r="D30" s="28"/>
      <c r="E30" s="48"/>
      <c r="F30" s="36">
        <f>'Cenova nabidka CELKOVA'!F29</f>
        <v>1</v>
      </c>
      <c r="G30" s="36">
        <f>'Cenova nabidka CELKOVA'!G29</f>
        <v>0</v>
      </c>
      <c r="H30" s="36">
        <f t="shared" si="6"/>
        <v>0</v>
      </c>
      <c r="I30" s="241">
        <f>ROUND('NABIDKA DOPRAVCE'!K34,3)</f>
        <v>0.1</v>
      </c>
      <c r="J30" s="138"/>
      <c r="K30" s="161"/>
      <c r="L30" s="162">
        <f>$I30*L$34</f>
        <v>269445.3</v>
      </c>
      <c r="M30" s="147"/>
      <c r="N30" s="167">
        <f t="shared" si="7"/>
        <v>269445.3</v>
      </c>
      <c r="O30" s="168">
        <f t="shared" si="7"/>
        <v>269445.3</v>
      </c>
      <c r="P30" s="168">
        <f t="shared" si="7"/>
        <v>269445.3</v>
      </c>
      <c r="Q30" s="168">
        <f t="shared" si="7"/>
        <v>269445.3</v>
      </c>
      <c r="R30" s="168">
        <f t="shared" si="7"/>
        <v>269445.3</v>
      </c>
      <c r="S30" s="168">
        <f t="shared" si="7"/>
        <v>269445.3</v>
      </c>
      <c r="T30" s="168">
        <f t="shared" si="7"/>
        <v>269445.3</v>
      </c>
      <c r="U30" s="168">
        <f t="shared" si="7"/>
        <v>269445.3</v>
      </c>
      <c r="V30" s="168">
        <f t="shared" si="7"/>
        <v>269445.3</v>
      </c>
      <c r="W30" s="169">
        <f t="shared" si="7"/>
        <v>269445.3</v>
      </c>
      <c r="X30" s="147"/>
      <c r="Y30" s="10"/>
    </row>
    <row r="31" spans="1:25" ht="12.75">
      <c r="A31" s="10"/>
      <c r="B31" s="334">
        <v>99</v>
      </c>
      <c r="C31" s="194" t="s">
        <v>226</v>
      </c>
      <c r="D31" s="99"/>
      <c r="E31" s="100"/>
      <c r="F31" s="36">
        <f>'Cenova nabidka CELKOVA'!F30</f>
        <v>1</v>
      </c>
      <c r="G31" s="36">
        <f>'Cenova nabidka CELKOVA'!G30</f>
        <v>0</v>
      </c>
      <c r="H31" s="36">
        <f aca="true" t="shared" si="8" ref="H31">100%-F31-G31</f>
        <v>0</v>
      </c>
      <c r="I31" s="241">
        <f>ROUND('NABIDKA DOPRAVCE'!K35,3)</f>
        <v>1.1</v>
      </c>
      <c r="J31" s="138"/>
      <c r="K31" s="161"/>
      <c r="L31" s="162">
        <f>$I31*L$34</f>
        <v>2963898.3000000003</v>
      </c>
      <c r="M31" s="147"/>
      <c r="N31" s="167">
        <f t="shared" si="7"/>
        <v>2963898.3000000003</v>
      </c>
      <c r="O31" s="168">
        <f t="shared" si="7"/>
        <v>2963898.3000000003</v>
      </c>
      <c r="P31" s="168">
        <f t="shared" si="7"/>
        <v>2963898.3000000003</v>
      </c>
      <c r="Q31" s="168">
        <f t="shared" si="7"/>
        <v>2963898.3000000003</v>
      </c>
      <c r="R31" s="168">
        <f t="shared" si="7"/>
        <v>2963898.3000000003</v>
      </c>
      <c r="S31" s="168">
        <f t="shared" si="7"/>
        <v>2963898.3000000003</v>
      </c>
      <c r="T31" s="168">
        <f t="shared" si="7"/>
        <v>2963898.3000000003</v>
      </c>
      <c r="U31" s="168">
        <f t="shared" si="7"/>
        <v>2963898.3000000003</v>
      </c>
      <c r="V31" s="168">
        <f t="shared" si="7"/>
        <v>2963898.3000000003</v>
      </c>
      <c r="W31" s="169">
        <f t="shared" si="7"/>
        <v>2963898.3000000003</v>
      </c>
      <c r="X31" s="147"/>
      <c r="Y31" s="10"/>
    </row>
    <row r="32" spans="1:25" ht="13.5" thickBot="1">
      <c r="A32" s="10"/>
      <c r="B32" s="46"/>
      <c r="C32" s="81" t="s">
        <v>46</v>
      </c>
      <c r="D32" s="29"/>
      <c r="E32" s="82"/>
      <c r="F32" s="346">
        <f>IF($I$32=0,"",(F28*$I$28+SUMPRODUCT(F29:F31,$I$29:$I$31))/$I$32)</f>
        <v>0.6321903207325743</v>
      </c>
      <c r="G32" s="346">
        <f aca="true" t="shared" si="9" ref="G32:H32">IF($I$32=0,"",(G28*$I$28+SUMPRODUCT(G29:G31,$I$29:$I$31))/$I$32)</f>
        <v>0.3373962404191022</v>
      </c>
      <c r="H32" s="346">
        <f t="shared" si="9"/>
        <v>0.030413438848323284</v>
      </c>
      <c r="I32" s="238">
        <f>SUM(I28:I31)</f>
        <v>29.528722630769234</v>
      </c>
      <c r="J32" s="139"/>
      <c r="K32" s="170"/>
      <c r="L32" s="171">
        <f>SUM(L28:L31)</f>
        <v>79563755.27864404</v>
      </c>
      <c r="M32" s="147"/>
      <c r="N32" s="172">
        <f>SUM(N28:N31)</f>
        <v>78114886.923</v>
      </c>
      <c r="O32" s="173">
        <f aca="true" t="shared" si="10" ref="O32:W32">SUM(O28:O31)</f>
        <v>78770500.81242877</v>
      </c>
      <c r="P32" s="173">
        <f t="shared" si="10"/>
        <v>78770500.81242877</v>
      </c>
      <c r="Q32" s="173">
        <f t="shared" si="10"/>
        <v>79997380.60551184</v>
      </c>
      <c r="R32" s="173">
        <f t="shared" si="10"/>
        <v>79997380.60551184</v>
      </c>
      <c r="S32" s="173">
        <f t="shared" si="10"/>
        <v>79997380.60551184</v>
      </c>
      <c r="T32" s="173">
        <f t="shared" si="10"/>
        <v>79997380.60551184</v>
      </c>
      <c r="U32" s="173">
        <f t="shared" si="10"/>
        <v>79997380.60551184</v>
      </c>
      <c r="V32" s="173">
        <f t="shared" si="10"/>
        <v>79997380.60551184</v>
      </c>
      <c r="W32" s="174">
        <f t="shared" si="10"/>
        <v>79997380.60551184</v>
      </c>
      <c r="X32" s="147"/>
      <c r="Y32" s="10"/>
    </row>
    <row r="33" spans="1:25" ht="13.5" thickBot="1">
      <c r="A33" s="10"/>
      <c r="B33" s="10"/>
      <c r="C33" s="10"/>
      <c r="D33" s="10"/>
      <c r="E33" s="10"/>
      <c r="F33" s="30"/>
      <c r="G33" s="30"/>
      <c r="H33" s="30"/>
      <c r="I33" s="10"/>
      <c r="J33" s="54"/>
      <c r="K33" s="146"/>
      <c r="L33" s="147"/>
      <c r="M33" s="147"/>
      <c r="N33" s="147"/>
      <c r="O33" s="147"/>
      <c r="P33" s="147"/>
      <c r="Q33" s="147"/>
      <c r="R33" s="147"/>
      <c r="S33" s="147"/>
      <c r="T33" s="147"/>
      <c r="U33" s="147"/>
      <c r="V33" s="147"/>
      <c r="W33" s="147"/>
      <c r="X33" s="147"/>
      <c r="Y33" s="10"/>
    </row>
    <row r="34" spans="1:25" ht="13.5" thickBot="1">
      <c r="A34" s="10"/>
      <c r="B34" s="10"/>
      <c r="C34" s="10"/>
      <c r="D34" s="10"/>
      <c r="E34" s="10"/>
      <c r="F34" s="232"/>
      <c r="G34" s="232"/>
      <c r="H34" s="232"/>
      <c r="I34" s="10"/>
      <c r="J34" s="145"/>
      <c r="K34" s="175"/>
      <c r="L34" s="176">
        <f>PP*AVERAGE('Technicke hodnoceni'!D21:M21)</f>
        <v>2694453</v>
      </c>
      <c r="M34" s="147"/>
      <c r="N34" s="176">
        <f>'Technicke hodnoceni'!D$21*PP</f>
        <v>2694453</v>
      </c>
      <c r="O34" s="176">
        <f>'Technicke hodnoceni'!E$21*PP</f>
        <v>2694453</v>
      </c>
      <c r="P34" s="176">
        <f>'Technicke hodnoceni'!F$21*PP</f>
        <v>2694453</v>
      </c>
      <c r="Q34" s="176">
        <f>'Technicke hodnoceni'!G$21*PP</f>
        <v>2694453</v>
      </c>
      <c r="R34" s="176">
        <f>'Technicke hodnoceni'!H$21*PP</f>
        <v>2694453</v>
      </c>
      <c r="S34" s="176">
        <f>'Technicke hodnoceni'!I$21*PP</f>
        <v>2694453</v>
      </c>
      <c r="T34" s="176">
        <f>'Technicke hodnoceni'!J$21*PP</f>
        <v>2694453</v>
      </c>
      <c r="U34" s="176">
        <f>'Technicke hodnoceni'!K$21*PP</f>
        <v>2694453</v>
      </c>
      <c r="V34" s="176">
        <f>'Technicke hodnoceni'!L$21*PP</f>
        <v>2694453</v>
      </c>
      <c r="W34" s="176">
        <f>'Technicke hodnoceni'!M$21*PP</f>
        <v>2694453</v>
      </c>
      <c r="X34" s="147"/>
      <c r="Y34" s="10"/>
    </row>
    <row r="35" spans="1:25" ht="12.75">
      <c r="A35" s="10"/>
      <c r="B35" s="10"/>
      <c r="C35" s="10"/>
      <c r="D35" s="10"/>
      <c r="E35" s="10"/>
      <c r="F35" s="30"/>
      <c r="G35" s="30"/>
      <c r="H35" s="30"/>
      <c r="I35" s="10"/>
      <c r="J35" s="145"/>
      <c r="K35" s="175"/>
      <c r="L35" s="177"/>
      <c r="M35" s="147"/>
      <c r="N35" s="177"/>
      <c r="O35" s="177"/>
      <c r="P35" s="177"/>
      <c r="Q35" s="177"/>
      <c r="R35" s="177"/>
      <c r="S35" s="177"/>
      <c r="T35" s="177"/>
      <c r="U35" s="177"/>
      <c r="V35" s="177"/>
      <c r="W35" s="177"/>
      <c r="X35" s="147"/>
      <c r="Y35" s="10"/>
    </row>
    <row r="36" spans="1:25" ht="12.75">
      <c r="A36" s="10"/>
      <c r="B36" s="10"/>
      <c r="C36" s="10"/>
      <c r="D36" s="10"/>
      <c r="E36" s="10"/>
      <c r="F36" s="30"/>
      <c r="G36" s="30"/>
      <c r="H36" s="30"/>
      <c r="I36" s="10"/>
      <c r="J36" s="145"/>
      <c r="K36" s="175"/>
      <c r="L36" s="178" t="s">
        <v>200</v>
      </c>
      <c r="M36" s="147"/>
      <c r="N36" s="177"/>
      <c r="O36" s="177"/>
      <c r="P36" s="177"/>
      <c r="Q36" s="177"/>
      <c r="R36" s="177"/>
      <c r="S36" s="177"/>
      <c r="T36" s="177"/>
      <c r="U36" s="177"/>
      <c r="V36" s="177"/>
      <c r="W36" s="177"/>
      <c r="X36" s="147"/>
      <c r="Y36" s="10"/>
    </row>
    <row r="37" spans="1:25" ht="12.75">
      <c r="A37" s="10"/>
      <c r="B37" s="10"/>
      <c r="C37" s="10"/>
      <c r="D37" s="10"/>
      <c r="E37" s="10"/>
      <c r="F37" s="30"/>
      <c r="G37" s="30"/>
      <c r="H37" s="30"/>
      <c r="I37" s="10"/>
      <c r="J37" s="145"/>
      <c r="K37" s="175"/>
      <c r="L37" s="178"/>
      <c r="M37" s="147"/>
      <c r="N37" s="177"/>
      <c r="O37" s="177"/>
      <c r="P37" s="177"/>
      <c r="Q37" s="177"/>
      <c r="R37" s="177"/>
      <c r="S37" s="177"/>
      <c r="T37" s="177"/>
      <c r="U37" s="177"/>
      <c r="V37" s="177"/>
      <c r="W37" s="177"/>
      <c r="X37" s="147"/>
      <c r="Y37" s="10"/>
    </row>
    <row r="38" spans="1:25" ht="12.75">
      <c r="A38" s="10"/>
      <c r="B38" s="10"/>
      <c r="C38" s="10"/>
      <c r="D38" s="10"/>
      <c r="E38" s="10"/>
      <c r="F38" s="30"/>
      <c r="G38" s="30"/>
      <c r="H38" s="30"/>
      <c r="I38" s="10"/>
      <c r="J38" s="54"/>
      <c r="K38" s="54"/>
      <c r="L38" s="10"/>
      <c r="M38" s="10"/>
      <c r="N38" s="10"/>
      <c r="O38" s="10"/>
      <c r="P38" s="10"/>
      <c r="Q38" s="10"/>
      <c r="R38" s="10"/>
      <c r="S38" s="10"/>
      <c r="T38" s="10"/>
      <c r="U38" s="10"/>
      <c r="V38" s="10"/>
      <c r="W38" s="10"/>
      <c r="X38" s="10"/>
      <c r="Y38" s="10"/>
    </row>
  </sheetData>
  <sheetProtection password="EEFD" sheet="1" scenarios="1" formatRows="0"/>
  <conditionalFormatting sqref="I7:I32">
    <cfRule type="expression" priority="92" dxfId="5">
      <formula>#REF!&gt;'NASTAVENI ZADAVATELE'!#REF!</formula>
    </cfRule>
  </conditionalFormatting>
  <printOptions/>
  <pageMargins left="0.25" right="0.25" top="0.75" bottom="0.75" header="0.3" footer="0.3"/>
  <pageSetup fitToHeight="1" fitToWidth="1" horizontalDpi="600" verticalDpi="600" orientation="landscape" paperSize="9" scale="47" r:id="rId2"/>
  <headerFooter>
    <oddHeader>&amp;C&amp;F</oddHeader>
    <oddFooter>&amp;C&amp;A</oddFooter>
  </headerFooter>
  <colBreaks count="1" manualBreakCount="1">
    <brk id="10" max="16383" man="1"/>
  </colBreaks>
  <drawing r:id="rId1"/>
  <extLst>
    <ext xmlns:x14="http://schemas.microsoft.com/office/spreadsheetml/2009/9/main" uri="{78C0D931-6437-407d-A8EE-F0AAD7539E65}">
      <x14:conditionalFormattings>
        <x14:conditionalFormatting xmlns:xm="http://schemas.microsoft.com/office/excel/2006/main">
          <x14:cfRule type="expression" priority="92">
            <xm:f>#REF!&gt;'NASTAVENI ZADAVATELE'!#REF!</xm:f>
            <x14:dxf>
              <fill>
                <patternFill>
                  <bgColor rgb="FFFF0000"/>
                </patternFill>
              </fill>
            </x14:dxf>
          </x14:cfRule>
          <xm:sqref>I7:I32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Mott MacDonald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ses41365</dc:creator>
  <cp:keywords/>
  <dc:description/>
  <cp:lastModifiedBy>Ing. Vyvial Jakub</cp:lastModifiedBy>
  <cp:lastPrinted>2016-01-12T15:26:49Z</cp:lastPrinted>
  <dcterms:created xsi:type="dcterms:W3CDTF">2014-09-29T12:14:17Z</dcterms:created>
  <dcterms:modified xsi:type="dcterms:W3CDTF">2016-01-12T15:26:55Z</dcterms:modified>
  <cp:category/>
  <cp:version/>
  <cp:contentType/>
  <cp:contentStatus/>
</cp:coreProperties>
</file>